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240" windowWidth="16380" windowHeight="7950"/>
  </bookViews>
  <sheets>
    <sheet name="Post-1 Tables" sheetId="2" r:id="rId1"/>
    <sheet name="Crankshaft History" sheetId="3" r:id="rId2"/>
    <sheet name="Crank-Main" sheetId="11" r:id="rId3"/>
    <sheet name="Rod Journals" sheetId="6" r:id="rId4"/>
    <sheet name="OEM Rods" sheetId="5" r:id="rId5"/>
    <sheet name="CARR Rods" sheetId="13" r:id="rId6"/>
    <sheet name="Virgin 088_089" sheetId="12" r:id="rId7"/>
    <sheet name="Virgin 702_703" sheetId="9" r:id="rId8"/>
    <sheet name="Virgin Calico" sheetId="14" r:id="rId9"/>
    <sheet name="Virgin WPC" sheetId="15" r:id="rId10"/>
    <sheet name="Rod Bearing History" sheetId="7" r:id="rId11"/>
    <sheet name="Sheet1" sheetId="8" r:id="rId12"/>
  </sheets>
  <calcPr calcId="145621"/>
</workbook>
</file>

<file path=xl/calcChain.xml><?xml version="1.0" encoding="utf-8"?>
<calcChain xmlns="http://schemas.openxmlformats.org/spreadsheetml/2006/main">
  <c r="M12" i="14" l="1"/>
  <c r="N12" i="14" s="1"/>
  <c r="M11" i="14"/>
  <c r="J15" i="15"/>
  <c r="I15" i="15"/>
  <c r="H15" i="15"/>
  <c r="G15" i="15"/>
  <c r="F15" i="15"/>
  <c r="E15" i="15"/>
  <c r="D15" i="15"/>
  <c r="C15" i="15"/>
  <c r="L15" i="15" s="1"/>
  <c r="J14" i="15"/>
  <c r="I14" i="15"/>
  <c r="H14" i="15"/>
  <c r="G14" i="15"/>
  <c r="F14" i="15"/>
  <c r="E14" i="15"/>
  <c r="D14" i="15"/>
  <c r="C14" i="15"/>
  <c r="K14" i="15" s="1"/>
  <c r="M13" i="15"/>
  <c r="O13" i="15" s="1"/>
  <c r="J13" i="15"/>
  <c r="I13" i="15"/>
  <c r="H13" i="15"/>
  <c r="G13" i="15"/>
  <c r="F13" i="15"/>
  <c r="E13" i="15"/>
  <c r="D13" i="15"/>
  <c r="L13" i="15" s="1"/>
  <c r="C13" i="15"/>
  <c r="K13" i="15" s="1"/>
  <c r="N12" i="15"/>
  <c r="M12" i="15"/>
  <c r="L12" i="15"/>
  <c r="O12" i="15" s="1"/>
  <c r="K12" i="15"/>
  <c r="M11" i="15"/>
  <c r="L11" i="15"/>
  <c r="O11" i="15" s="1"/>
  <c r="K11" i="15"/>
  <c r="N11" i="15" s="1"/>
  <c r="AA10" i="15"/>
  <c r="X10" i="15"/>
  <c r="W10" i="15"/>
  <c r="V10" i="15"/>
  <c r="U10" i="15"/>
  <c r="T10" i="15"/>
  <c r="S10" i="15"/>
  <c r="R10" i="15"/>
  <c r="Z10" i="15" s="1"/>
  <c r="AC10" i="15" s="1"/>
  <c r="Q10" i="15"/>
  <c r="Y10" i="15" s="1"/>
  <c r="AB10" i="15" s="1"/>
  <c r="N10" i="15"/>
  <c r="M10" i="15"/>
  <c r="O10" i="15" s="1"/>
  <c r="L10" i="15"/>
  <c r="K10" i="15"/>
  <c r="X9" i="15"/>
  <c r="W9" i="15"/>
  <c r="V9" i="15"/>
  <c r="U9" i="15"/>
  <c r="T9" i="15"/>
  <c r="S9" i="15"/>
  <c r="R9" i="15"/>
  <c r="Q9" i="15"/>
  <c r="AA9" i="15" s="1"/>
  <c r="M9" i="15"/>
  <c r="L9" i="15"/>
  <c r="O9" i="15" s="1"/>
  <c r="K9" i="15"/>
  <c r="N9" i="15" s="1"/>
  <c r="AA8" i="15"/>
  <c r="X8" i="15"/>
  <c r="W8" i="15"/>
  <c r="V8" i="15"/>
  <c r="U8" i="15"/>
  <c r="T8" i="15"/>
  <c r="S8" i="15"/>
  <c r="R8" i="15"/>
  <c r="Z8" i="15" s="1"/>
  <c r="AC8" i="15" s="1"/>
  <c r="Q8" i="15"/>
  <c r="Y8" i="15" s="1"/>
  <c r="AB8" i="15" s="1"/>
  <c r="N8" i="15"/>
  <c r="M8" i="15"/>
  <c r="O8" i="15" s="1"/>
  <c r="L8" i="15"/>
  <c r="K8" i="15"/>
  <c r="X7" i="15"/>
  <c r="W7" i="15"/>
  <c r="V7" i="15"/>
  <c r="U7" i="15"/>
  <c r="T7" i="15"/>
  <c r="S7" i="15"/>
  <c r="R7" i="15"/>
  <c r="Q7" i="15"/>
  <c r="AA7" i="15" s="1"/>
  <c r="M7" i="15"/>
  <c r="L7" i="15"/>
  <c r="O7" i="15" s="1"/>
  <c r="K7" i="15"/>
  <c r="N7" i="15" s="1"/>
  <c r="X6" i="15"/>
  <c r="W6" i="15"/>
  <c r="V6" i="15"/>
  <c r="U6" i="15"/>
  <c r="T6" i="15"/>
  <c r="S6" i="15"/>
  <c r="AA6" i="15" s="1"/>
  <c r="R6" i="15"/>
  <c r="Z6" i="15" s="1"/>
  <c r="Q6" i="15"/>
  <c r="Y6" i="15" s="1"/>
  <c r="AB6" i="15" s="1"/>
  <c r="N6" i="15"/>
  <c r="M6" i="15"/>
  <c r="O6" i="15" s="1"/>
  <c r="L6" i="15"/>
  <c r="K6" i="15"/>
  <c r="X5" i="15"/>
  <c r="W5" i="15"/>
  <c r="V5" i="15"/>
  <c r="U5" i="15"/>
  <c r="T5" i="15"/>
  <c r="S5" i="15"/>
  <c r="R5" i="15"/>
  <c r="Q5" i="15"/>
  <c r="AA11" i="15" s="1"/>
  <c r="M5" i="15"/>
  <c r="L5" i="15"/>
  <c r="O5" i="15" s="1"/>
  <c r="K5" i="15"/>
  <c r="N5" i="15" s="1"/>
  <c r="AA4" i="15"/>
  <c r="X4" i="15"/>
  <c r="W4" i="15"/>
  <c r="V4" i="15"/>
  <c r="U4" i="15"/>
  <c r="T4" i="15"/>
  <c r="S4" i="15"/>
  <c r="R4" i="15"/>
  <c r="Z4" i="15" s="1"/>
  <c r="AC4" i="15" s="1"/>
  <c r="Q4" i="15"/>
  <c r="Y4" i="15" s="1"/>
  <c r="AB4" i="15" s="1"/>
  <c r="N4" i="15"/>
  <c r="M4" i="15"/>
  <c r="O4" i="15" s="1"/>
  <c r="L4" i="15"/>
  <c r="K4" i="15"/>
  <c r="J15" i="14"/>
  <c r="I15" i="14"/>
  <c r="H15" i="14"/>
  <c r="G15" i="14"/>
  <c r="F15" i="14"/>
  <c r="E15" i="14"/>
  <c r="D15" i="14"/>
  <c r="C15" i="14"/>
  <c r="J14" i="14"/>
  <c r="I14" i="14"/>
  <c r="H14" i="14"/>
  <c r="G14" i="14"/>
  <c r="F14" i="14"/>
  <c r="E14" i="14"/>
  <c r="D14" i="14"/>
  <c r="C14" i="14"/>
  <c r="J13" i="14"/>
  <c r="I13" i="14"/>
  <c r="H13" i="14"/>
  <c r="G13" i="14"/>
  <c r="F13" i="14"/>
  <c r="E13" i="14"/>
  <c r="D13" i="14"/>
  <c r="C13" i="14"/>
  <c r="L12" i="14"/>
  <c r="K12" i="14"/>
  <c r="L11" i="14"/>
  <c r="O11" i="14" s="1"/>
  <c r="K11" i="14"/>
  <c r="X10" i="14"/>
  <c r="W10" i="14"/>
  <c r="V10" i="14"/>
  <c r="U10" i="14"/>
  <c r="T10" i="14"/>
  <c r="S10" i="14"/>
  <c r="R10" i="14"/>
  <c r="Q10" i="14"/>
  <c r="M10" i="14"/>
  <c r="N10" i="14" s="1"/>
  <c r="L10" i="14"/>
  <c r="K10" i="14"/>
  <c r="X9" i="14"/>
  <c r="W9" i="14"/>
  <c r="V9" i="14"/>
  <c r="U9" i="14"/>
  <c r="T9" i="14"/>
  <c r="S9" i="14"/>
  <c r="R9" i="14"/>
  <c r="Q9" i="14"/>
  <c r="M9" i="14"/>
  <c r="O9" i="14" s="1"/>
  <c r="L9" i="14"/>
  <c r="K9" i="14"/>
  <c r="N9" i="14" s="1"/>
  <c r="X8" i="14"/>
  <c r="W8" i="14"/>
  <c r="V8" i="14"/>
  <c r="U8" i="14"/>
  <c r="T8" i="14"/>
  <c r="S8" i="14"/>
  <c r="R8" i="14"/>
  <c r="Q8" i="14"/>
  <c r="M8" i="14"/>
  <c r="L8" i="14"/>
  <c r="K8" i="14"/>
  <c r="X7" i="14"/>
  <c r="W7" i="14"/>
  <c r="V7" i="14"/>
  <c r="U7" i="14"/>
  <c r="T7" i="14"/>
  <c r="S7" i="14"/>
  <c r="R7" i="14"/>
  <c r="Q7" i="14"/>
  <c r="M7" i="14"/>
  <c r="L7" i="14"/>
  <c r="K7" i="14"/>
  <c r="X6" i="14"/>
  <c r="W6" i="14"/>
  <c r="V6" i="14"/>
  <c r="U6" i="14"/>
  <c r="T6" i="14"/>
  <c r="S6" i="14"/>
  <c r="R6" i="14"/>
  <c r="Q6" i="14"/>
  <c r="M6" i="14"/>
  <c r="L6" i="14"/>
  <c r="K6" i="14"/>
  <c r="X5" i="14"/>
  <c r="W5" i="14"/>
  <c r="V5" i="14"/>
  <c r="U5" i="14"/>
  <c r="T5" i="14"/>
  <c r="S5" i="14"/>
  <c r="R5" i="14"/>
  <c r="Q5" i="14"/>
  <c r="M5" i="14"/>
  <c r="L5" i="14"/>
  <c r="O5" i="14" s="1"/>
  <c r="K5" i="14"/>
  <c r="N5" i="14" s="1"/>
  <c r="X4" i="14"/>
  <c r="W4" i="14"/>
  <c r="V4" i="14"/>
  <c r="U4" i="14"/>
  <c r="T4" i="14"/>
  <c r="S4" i="14"/>
  <c r="R4" i="14"/>
  <c r="Q4" i="14"/>
  <c r="M4" i="14"/>
  <c r="L4" i="14"/>
  <c r="K4" i="14"/>
  <c r="C73" i="2"/>
  <c r="B73" i="2"/>
  <c r="C72" i="2"/>
  <c r="B72" i="2"/>
  <c r="C71" i="2"/>
  <c r="B71" i="2"/>
  <c r="C70" i="2"/>
  <c r="C69" i="2"/>
  <c r="B61" i="2"/>
  <c r="B60" i="2"/>
  <c r="B59" i="2"/>
  <c r="B58" i="2"/>
  <c r="B57" i="2"/>
  <c r="B56" i="2"/>
  <c r="C61" i="2"/>
  <c r="C60" i="2"/>
  <c r="C59" i="2"/>
  <c r="C58" i="2"/>
  <c r="C57" i="2"/>
  <c r="C56" i="2"/>
  <c r="B53" i="2"/>
  <c r="B52" i="2"/>
  <c r="B51" i="2"/>
  <c r="B48" i="2"/>
  <c r="B47" i="2"/>
  <c r="B46" i="2"/>
  <c r="B45" i="2"/>
  <c r="B44" i="2"/>
  <c r="C53" i="2"/>
  <c r="C52" i="2"/>
  <c r="C47" i="2"/>
  <c r="C51" i="2"/>
  <c r="AA10" i="9"/>
  <c r="X10" i="9"/>
  <c r="W10" i="9"/>
  <c r="V10" i="9"/>
  <c r="U10" i="9"/>
  <c r="T10" i="9"/>
  <c r="S10" i="9"/>
  <c r="R10" i="9"/>
  <c r="Q10" i="9"/>
  <c r="Y10" i="9" s="1"/>
  <c r="AB10" i="9" s="1"/>
  <c r="AA9" i="9"/>
  <c r="X9" i="9"/>
  <c r="W9" i="9"/>
  <c r="V9" i="9"/>
  <c r="U9" i="9"/>
  <c r="T9" i="9"/>
  <c r="S9" i="9"/>
  <c r="R9" i="9"/>
  <c r="Z9" i="9" s="1"/>
  <c r="AC9" i="9" s="1"/>
  <c r="Q9" i="9"/>
  <c r="Y9" i="9" s="1"/>
  <c r="AB9" i="9" s="1"/>
  <c r="X8" i="9"/>
  <c r="W8" i="9"/>
  <c r="V8" i="9"/>
  <c r="U8" i="9"/>
  <c r="T8" i="9"/>
  <c r="S8" i="9"/>
  <c r="R8" i="9"/>
  <c r="Q8" i="9"/>
  <c r="AA8" i="9" s="1"/>
  <c r="X7" i="9"/>
  <c r="W7" i="9"/>
  <c r="V7" i="9"/>
  <c r="U7" i="9"/>
  <c r="T7" i="9"/>
  <c r="S7" i="9"/>
  <c r="R7" i="9"/>
  <c r="Q7" i="9"/>
  <c r="AA7" i="9" s="1"/>
  <c r="X6" i="9"/>
  <c r="W6" i="9"/>
  <c r="V6" i="9"/>
  <c r="U6" i="9"/>
  <c r="T6" i="9"/>
  <c r="S6" i="9"/>
  <c r="R6" i="9"/>
  <c r="AA6" i="9" s="1"/>
  <c r="Q6" i="9"/>
  <c r="Y6" i="9" s="1"/>
  <c r="X5" i="9"/>
  <c r="W5" i="9"/>
  <c r="V5" i="9"/>
  <c r="U5" i="9"/>
  <c r="T5" i="9"/>
  <c r="S5" i="9"/>
  <c r="Y11" i="9" s="1"/>
  <c r="R5" i="9"/>
  <c r="Z5" i="9" s="1"/>
  <c r="Q5" i="9"/>
  <c r="AA11" i="9" s="1"/>
  <c r="X4" i="9"/>
  <c r="W4" i="9"/>
  <c r="V4" i="9"/>
  <c r="U4" i="9"/>
  <c r="T4" i="9"/>
  <c r="S4" i="9"/>
  <c r="R4" i="9"/>
  <c r="Q4" i="9"/>
  <c r="AA4" i="9" s="1"/>
  <c r="AA11" i="12"/>
  <c r="Z11" i="12"/>
  <c r="AC11" i="12" s="1"/>
  <c r="Y11" i="12"/>
  <c r="AB11" i="12" s="1"/>
  <c r="Y5" i="12"/>
  <c r="AB5" i="12" s="1"/>
  <c r="Z5" i="12"/>
  <c r="AC5" i="12" s="1"/>
  <c r="AA5" i="12"/>
  <c r="Y6" i="12"/>
  <c r="AB6" i="12" s="1"/>
  <c r="Z6" i="12"/>
  <c r="AA6" i="12"/>
  <c r="AC6" i="12"/>
  <c r="Y7" i="12"/>
  <c r="Z7" i="12"/>
  <c r="AA7" i="12"/>
  <c r="AB7" i="12"/>
  <c r="AC7" i="12"/>
  <c r="Y8" i="12"/>
  <c r="Z8" i="12"/>
  <c r="AA8" i="12"/>
  <c r="AB8" i="12" s="1"/>
  <c r="Y9" i="12"/>
  <c r="Z9" i="12"/>
  <c r="AC9" i="12" s="1"/>
  <c r="AA9" i="12"/>
  <c r="AB9" i="12" s="1"/>
  <c r="Y10" i="12"/>
  <c r="AB10" i="12" s="1"/>
  <c r="Z10" i="12"/>
  <c r="AA10" i="12"/>
  <c r="AC10" i="12"/>
  <c r="AA4" i="12"/>
  <c r="Z4" i="12"/>
  <c r="AC4" i="12" s="1"/>
  <c r="Y4" i="12"/>
  <c r="AB4" i="12" s="1"/>
  <c r="R4" i="12"/>
  <c r="S4" i="12"/>
  <c r="T4" i="12"/>
  <c r="U4" i="12"/>
  <c r="V4" i="12"/>
  <c r="W4" i="12"/>
  <c r="X4" i="12"/>
  <c r="R5" i="12"/>
  <c r="S5" i="12"/>
  <c r="T5" i="12"/>
  <c r="U5" i="12"/>
  <c r="V5" i="12"/>
  <c r="W5" i="12"/>
  <c r="X5" i="12"/>
  <c r="R6" i="12"/>
  <c r="S6" i="12"/>
  <c r="T6" i="12"/>
  <c r="U6" i="12"/>
  <c r="V6" i="12"/>
  <c r="W6" i="12"/>
  <c r="X6" i="12"/>
  <c r="R7" i="12"/>
  <c r="S7" i="12"/>
  <c r="T7" i="12"/>
  <c r="U7" i="12"/>
  <c r="V7" i="12"/>
  <c r="W7" i="12"/>
  <c r="X7" i="12"/>
  <c r="R8" i="12"/>
  <c r="S8" i="12"/>
  <c r="T8" i="12"/>
  <c r="U8" i="12"/>
  <c r="V8" i="12"/>
  <c r="W8" i="12"/>
  <c r="X8" i="12"/>
  <c r="R9" i="12"/>
  <c r="S9" i="12"/>
  <c r="T9" i="12"/>
  <c r="U9" i="12"/>
  <c r="V9" i="12"/>
  <c r="W9" i="12"/>
  <c r="X9" i="12"/>
  <c r="R10" i="12"/>
  <c r="S10" i="12"/>
  <c r="T10" i="12"/>
  <c r="U10" i="12"/>
  <c r="V10" i="12"/>
  <c r="W10" i="12"/>
  <c r="X10" i="12"/>
  <c r="Q8" i="12"/>
  <c r="Q9" i="12"/>
  <c r="Q10" i="12"/>
  <c r="Q4" i="12"/>
  <c r="Q5" i="12"/>
  <c r="Q6" i="12"/>
  <c r="Q7" i="12"/>
  <c r="C50" i="2"/>
  <c r="C49" i="2"/>
  <c r="C41" i="2"/>
  <c r="C18" i="2"/>
  <c r="C40" i="2"/>
  <c r="C48" i="2"/>
  <c r="C46" i="2"/>
  <c r="C45" i="2"/>
  <c r="C44" i="2"/>
  <c r="B41" i="2"/>
  <c r="B40" i="2"/>
  <c r="B39" i="2"/>
  <c r="B38" i="2"/>
  <c r="B37" i="2"/>
  <c r="B36" i="2"/>
  <c r="C39" i="2"/>
  <c r="C38" i="2"/>
  <c r="C29" i="2"/>
  <c r="C37" i="2"/>
  <c r="C36" i="2"/>
  <c r="K11" i="9"/>
  <c r="N11" i="9" s="1"/>
  <c r="L11" i="9"/>
  <c r="M11" i="9"/>
  <c r="O11" i="9" s="1"/>
  <c r="K12" i="9"/>
  <c r="L12" i="9"/>
  <c r="O12" i="9" s="1"/>
  <c r="M12" i="9"/>
  <c r="N12" i="9" s="1"/>
  <c r="D15" i="12"/>
  <c r="E15" i="12"/>
  <c r="F15" i="12"/>
  <c r="G15" i="12"/>
  <c r="H15" i="12"/>
  <c r="I15" i="12"/>
  <c r="J15" i="12"/>
  <c r="C15" i="12"/>
  <c r="D14" i="12"/>
  <c r="E14" i="12"/>
  <c r="F14" i="12"/>
  <c r="G14" i="12"/>
  <c r="H14" i="12"/>
  <c r="I14" i="12"/>
  <c r="J14" i="12"/>
  <c r="C14" i="12"/>
  <c r="K14" i="12" s="1"/>
  <c r="D13" i="12"/>
  <c r="E13" i="12"/>
  <c r="F13" i="12"/>
  <c r="G13" i="12"/>
  <c r="H13" i="12"/>
  <c r="I13" i="12"/>
  <c r="J13" i="12"/>
  <c r="C13" i="12"/>
  <c r="M5" i="9"/>
  <c r="M6" i="9"/>
  <c r="M7" i="9"/>
  <c r="M8" i="9"/>
  <c r="M9" i="9"/>
  <c r="M10" i="9"/>
  <c r="M4" i="9"/>
  <c r="K11" i="12"/>
  <c r="L11" i="12"/>
  <c r="M11" i="12"/>
  <c r="O11" i="12" s="1"/>
  <c r="K12" i="12"/>
  <c r="L12" i="12"/>
  <c r="M12" i="12"/>
  <c r="M10" i="12"/>
  <c r="M9" i="12"/>
  <c r="M8" i="12"/>
  <c r="M7" i="12"/>
  <c r="M6" i="12"/>
  <c r="M5" i="12"/>
  <c r="M4" i="12"/>
  <c r="B33" i="2"/>
  <c r="C33" i="2"/>
  <c r="B32" i="2"/>
  <c r="C32" i="2"/>
  <c r="B31" i="2"/>
  <c r="C31" i="2"/>
  <c r="B30" i="2"/>
  <c r="C30" i="2"/>
  <c r="B29" i="2"/>
  <c r="B28" i="2"/>
  <c r="C28" i="2"/>
  <c r="B27" i="2"/>
  <c r="C27" i="2"/>
  <c r="K6" i="13"/>
  <c r="E19" i="13"/>
  <c r="E18" i="13"/>
  <c r="E17" i="13"/>
  <c r="E16" i="13"/>
  <c r="E15" i="13"/>
  <c r="E14" i="13"/>
  <c r="E13" i="13"/>
  <c r="E12" i="13"/>
  <c r="E11" i="5"/>
  <c r="E10" i="5"/>
  <c r="E9" i="5"/>
  <c r="E8" i="5"/>
  <c r="E7" i="5"/>
  <c r="J6" i="5"/>
  <c r="M6" i="5" s="1"/>
  <c r="I6" i="5"/>
  <c r="L6" i="5" s="1"/>
  <c r="E6" i="5"/>
  <c r="E5" i="5"/>
  <c r="K4" i="5"/>
  <c r="M4" i="5" s="1"/>
  <c r="J4" i="5"/>
  <c r="I4" i="5"/>
  <c r="E4" i="5"/>
  <c r="K5" i="5" s="1"/>
  <c r="K4" i="13"/>
  <c r="J6" i="13"/>
  <c r="J4" i="13"/>
  <c r="I6" i="13"/>
  <c r="I4" i="13"/>
  <c r="E11" i="13"/>
  <c r="E10" i="13"/>
  <c r="E9" i="13"/>
  <c r="E8" i="13"/>
  <c r="E7" i="13"/>
  <c r="E6" i="13"/>
  <c r="E5" i="13"/>
  <c r="E4" i="13"/>
  <c r="L10" i="12"/>
  <c r="K10" i="12"/>
  <c r="L9" i="12"/>
  <c r="K9" i="12"/>
  <c r="L8" i="12"/>
  <c r="K8" i="12"/>
  <c r="L7" i="12"/>
  <c r="K7" i="12"/>
  <c r="N7" i="12" s="1"/>
  <c r="L6" i="12"/>
  <c r="K6" i="12"/>
  <c r="L5" i="12"/>
  <c r="K5" i="12"/>
  <c r="L4" i="12"/>
  <c r="O4" i="12" s="1"/>
  <c r="K4" i="12"/>
  <c r="Y10" i="14" l="1"/>
  <c r="O7" i="14"/>
  <c r="M13" i="14"/>
  <c r="O13" i="14" s="1"/>
  <c r="O12" i="14"/>
  <c r="N11" i="14"/>
  <c r="AA4" i="14"/>
  <c r="N7" i="14"/>
  <c r="Y7" i="14"/>
  <c r="K13" i="14"/>
  <c r="K14" i="14"/>
  <c r="L15" i="14"/>
  <c r="AA10" i="14"/>
  <c r="AB10" i="14" s="1"/>
  <c r="Y8" i="14"/>
  <c r="N8" i="14"/>
  <c r="Y9" i="14"/>
  <c r="AA8" i="14"/>
  <c r="Y4" i="14"/>
  <c r="Y11" i="14"/>
  <c r="AA6" i="14"/>
  <c r="N6" i="14"/>
  <c r="N4" i="14"/>
  <c r="Y6" i="14"/>
  <c r="AC6" i="15"/>
  <c r="Y5" i="15"/>
  <c r="Y9" i="15"/>
  <c r="AB9" i="15" s="1"/>
  <c r="Y11" i="15"/>
  <c r="AB11" i="15" s="1"/>
  <c r="Z5" i="15"/>
  <c r="Z7" i="15"/>
  <c r="AC7" i="15" s="1"/>
  <c r="Z9" i="15"/>
  <c r="AC9" i="15" s="1"/>
  <c r="Z11" i="15"/>
  <c r="AC11" i="15" s="1"/>
  <c r="N13" i="15"/>
  <c r="Y7" i="15"/>
  <c r="AB7" i="15" s="1"/>
  <c r="AA5" i="15"/>
  <c r="Z6" i="14"/>
  <c r="Z10" i="14"/>
  <c r="L13" i="14"/>
  <c r="O4" i="14"/>
  <c r="Z5" i="14"/>
  <c r="O6" i="14"/>
  <c r="Z7" i="14"/>
  <c r="O8" i="14"/>
  <c r="Z9" i="14"/>
  <c r="O10" i="14"/>
  <c r="Z11" i="14"/>
  <c r="Z4" i="14"/>
  <c r="Z8" i="14"/>
  <c r="AA5" i="14"/>
  <c r="AA7" i="14"/>
  <c r="AB7" i="14" s="1"/>
  <c r="AA9" i="14"/>
  <c r="AA11" i="14"/>
  <c r="AB11" i="14" s="1"/>
  <c r="Y5" i="14"/>
  <c r="AB11" i="9"/>
  <c r="AB6" i="9"/>
  <c r="AA5" i="9"/>
  <c r="AC5" i="9" s="1"/>
  <c r="Z6" i="9"/>
  <c r="AC6" i="9" s="1"/>
  <c r="Y7" i="9"/>
  <c r="AB7" i="9" s="1"/>
  <c r="Z10" i="9"/>
  <c r="AC10" i="9" s="1"/>
  <c r="Y4" i="9"/>
  <c r="AB4" i="9" s="1"/>
  <c r="Z7" i="9"/>
  <c r="AC7" i="9" s="1"/>
  <c r="Y8" i="9"/>
  <c r="AB8" i="9" s="1"/>
  <c r="Z11" i="9"/>
  <c r="AC11" i="9" s="1"/>
  <c r="Z4" i="9"/>
  <c r="AC4" i="9" s="1"/>
  <c r="Y5" i="9"/>
  <c r="Z8" i="9"/>
  <c r="AC8" i="9" s="1"/>
  <c r="AC8" i="12"/>
  <c r="L15" i="12"/>
  <c r="M13" i="12"/>
  <c r="O12" i="12"/>
  <c r="N11" i="12"/>
  <c r="O5" i="12"/>
  <c r="O6" i="12"/>
  <c r="N12" i="12"/>
  <c r="O10" i="12"/>
  <c r="N9" i="12"/>
  <c r="O8" i="12"/>
  <c r="N8" i="12"/>
  <c r="N6" i="12"/>
  <c r="N4" i="12"/>
  <c r="O9" i="12"/>
  <c r="N5" i="12"/>
  <c r="O7" i="12"/>
  <c r="N10" i="12"/>
  <c r="L13" i="12"/>
  <c r="J5" i="5"/>
  <c r="M5" i="5" s="1"/>
  <c r="L4" i="5"/>
  <c r="L6" i="13"/>
  <c r="M6" i="13"/>
  <c r="K5" i="13"/>
  <c r="I5" i="5"/>
  <c r="L5" i="5" s="1"/>
  <c r="J5" i="13"/>
  <c r="I5" i="13"/>
  <c r="L4" i="13"/>
  <c r="M4" i="13"/>
  <c r="K13" i="12"/>
  <c r="AC10" i="14" l="1"/>
  <c r="AC8" i="14"/>
  <c r="AB6" i="14"/>
  <c r="AC4" i="14"/>
  <c r="AB4" i="14"/>
  <c r="AB9" i="14"/>
  <c r="N13" i="14"/>
  <c r="AC6" i="14"/>
  <c r="AB8" i="14"/>
  <c r="AB5" i="15"/>
  <c r="AC5" i="15"/>
  <c r="AC9" i="14"/>
  <c r="AC5" i="14"/>
  <c r="AB5" i="14"/>
  <c r="AC11" i="14"/>
  <c r="AC7" i="14"/>
  <c r="AB5" i="9"/>
  <c r="O13" i="12"/>
  <c r="N13" i="12"/>
  <c r="L5" i="13"/>
  <c r="M5" i="13"/>
  <c r="B16" i="2" l="1"/>
  <c r="V4" i="11"/>
  <c r="B18" i="2" s="1"/>
  <c r="T4" i="11"/>
  <c r="V3" i="11"/>
  <c r="U3" i="11"/>
  <c r="C15" i="2" s="1"/>
  <c r="T3" i="11"/>
  <c r="C16" i="2" s="1"/>
  <c r="V2" i="11"/>
  <c r="U2" i="11"/>
  <c r="B12" i="2" s="1"/>
  <c r="T2" i="11"/>
  <c r="B13" i="2" s="1"/>
  <c r="L3" i="11"/>
  <c r="M3" i="11"/>
  <c r="N3" i="11"/>
  <c r="O3" i="11"/>
  <c r="P3" i="11"/>
  <c r="M2" i="11"/>
  <c r="N2" i="11"/>
  <c r="O2" i="11"/>
  <c r="P2" i="11"/>
  <c r="L2" i="11"/>
  <c r="U4" i="11" s="1"/>
  <c r="C17" i="2" l="1"/>
  <c r="B17" i="2"/>
  <c r="B15" i="2"/>
  <c r="W3" i="11"/>
  <c r="C13" i="2"/>
  <c r="C12" i="2"/>
  <c r="W2" i="11"/>
  <c r="X2" i="11"/>
  <c r="X3" i="11"/>
  <c r="X4" i="11"/>
  <c r="W4" i="11"/>
  <c r="L10" i="9"/>
  <c r="K10" i="9"/>
  <c r="L9" i="9"/>
  <c r="K9" i="9"/>
  <c r="L8" i="9"/>
  <c r="K8" i="9"/>
  <c r="N8" i="9" s="1"/>
  <c r="L7" i="9"/>
  <c r="K7" i="9"/>
  <c r="L6" i="9"/>
  <c r="K6" i="9"/>
  <c r="L5" i="9"/>
  <c r="K5" i="9"/>
  <c r="L4" i="9"/>
  <c r="K4" i="9"/>
  <c r="D25" i="6"/>
  <c r="E25" i="6"/>
  <c r="F25" i="6"/>
  <c r="G25" i="6"/>
  <c r="H25" i="6"/>
  <c r="I25" i="6"/>
  <c r="J25" i="6"/>
  <c r="D26" i="6"/>
  <c r="E26" i="6"/>
  <c r="F26" i="6"/>
  <c r="G26" i="6"/>
  <c r="H26" i="6"/>
  <c r="I26" i="6"/>
  <c r="J26" i="6"/>
  <c r="D27" i="6"/>
  <c r="E27" i="6"/>
  <c r="F27" i="6"/>
  <c r="G27" i="6"/>
  <c r="H27" i="6"/>
  <c r="I27" i="6"/>
  <c r="J27" i="6"/>
  <c r="D28" i="6"/>
  <c r="E28" i="6"/>
  <c r="F28" i="6"/>
  <c r="G28" i="6"/>
  <c r="H28" i="6"/>
  <c r="I28" i="6"/>
  <c r="J28" i="6"/>
  <c r="D29" i="6"/>
  <c r="E29" i="6"/>
  <c r="F29" i="6"/>
  <c r="G29" i="6"/>
  <c r="H29" i="6"/>
  <c r="I29" i="6"/>
  <c r="J29" i="6"/>
  <c r="D30" i="6"/>
  <c r="E30" i="6"/>
  <c r="F30" i="6"/>
  <c r="G30" i="6"/>
  <c r="H30" i="6"/>
  <c r="I30" i="6"/>
  <c r="J30" i="6"/>
  <c r="D31" i="6"/>
  <c r="E31" i="6"/>
  <c r="F31" i="6"/>
  <c r="G31" i="6"/>
  <c r="H31" i="6"/>
  <c r="I31" i="6"/>
  <c r="J31" i="6"/>
  <c r="D32" i="6"/>
  <c r="E32" i="6"/>
  <c r="F32" i="6"/>
  <c r="G32" i="6"/>
  <c r="H32" i="6"/>
  <c r="I32" i="6"/>
  <c r="J32" i="6"/>
  <c r="D33" i="6"/>
  <c r="E33" i="6"/>
  <c r="F33" i="6"/>
  <c r="G33" i="6"/>
  <c r="H33" i="6"/>
  <c r="I33" i="6"/>
  <c r="J33" i="6"/>
  <c r="D34" i="6"/>
  <c r="E34" i="6"/>
  <c r="F34" i="6"/>
  <c r="G34" i="6"/>
  <c r="H34" i="6"/>
  <c r="I34" i="6"/>
  <c r="J34" i="6"/>
  <c r="D35" i="6"/>
  <c r="E35" i="6"/>
  <c r="F35" i="6"/>
  <c r="G35" i="6"/>
  <c r="H35" i="6"/>
  <c r="I35" i="6"/>
  <c r="J35" i="6"/>
  <c r="D36" i="6"/>
  <c r="E36" i="6"/>
  <c r="F36" i="6"/>
  <c r="G36" i="6"/>
  <c r="H36" i="6"/>
  <c r="I36" i="6"/>
  <c r="J36" i="6"/>
  <c r="C26" i="6"/>
  <c r="C27" i="6"/>
  <c r="C28" i="6"/>
  <c r="C29" i="6"/>
  <c r="C30" i="6"/>
  <c r="C31" i="6"/>
  <c r="C32" i="6"/>
  <c r="C33" i="6"/>
  <c r="C34" i="6"/>
  <c r="C35" i="6"/>
  <c r="C36" i="6"/>
  <c r="C25" i="6"/>
  <c r="M2" i="6"/>
  <c r="F13" i="9" s="1"/>
  <c r="L2" i="6"/>
  <c r="F14" i="9" s="1"/>
  <c r="K2" i="6"/>
  <c r="F15" i="9" s="1"/>
  <c r="O7" i="9" l="1"/>
  <c r="N9" i="9"/>
  <c r="N5" i="9"/>
  <c r="N4" i="9"/>
  <c r="O9" i="9"/>
  <c r="O4" i="9"/>
  <c r="O5" i="9"/>
  <c r="B19" i="2"/>
  <c r="C19" i="2"/>
  <c r="C14" i="2"/>
  <c r="B14" i="2"/>
  <c r="N6" i="9"/>
  <c r="N10" i="9"/>
  <c r="C64" i="2"/>
  <c r="O6" i="9"/>
  <c r="O10" i="9"/>
  <c r="C65" i="2"/>
  <c r="M7" i="6"/>
  <c r="K25" i="6"/>
  <c r="M12" i="6"/>
  <c r="M8" i="6"/>
  <c r="L25" i="6"/>
  <c r="B23" i="2" s="1"/>
  <c r="C67" i="2"/>
  <c r="I13" i="9"/>
  <c r="E13" i="9"/>
  <c r="I14" i="9"/>
  <c r="E14" i="9"/>
  <c r="I15" i="9"/>
  <c r="E15" i="9"/>
  <c r="M25" i="6"/>
  <c r="H13" i="9"/>
  <c r="D13" i="9"/>
  <c r="H14" i="9"/>
  <c r="D14" i="9"/>
  <c r="H15" i="9"/>
  <c r="D15" i="9"/>
  <c r="M10" i="6"/>
  <c r="M6" i="6"/>
  <c r="C13" i="9"/>
  <c r="G13" i="9"/>
  <c r="C14" i="9"/>
  <c r="G14" i="9"/>
  <c r="C15" i="9"/>
  <c r="G15" i="9"/>
  <c r="M11" i="6"/>
  <c r="M5" i="6"/>
  <c r="M9" i="6"/>
  <c r="C66" i="2"/>
  <c r="J13" i="9"/>
  <c r="J14" i="9"/>
  <c r="J15" i="9"/>
  <c r="O8" i="9"/>
  <c r="N7" i="9"/>
  <c r="M13" i="9" l="1"/>
  <c r="K14" i="9"/>
  <c r="K13" i="9"/>
  <c r="L15" i="9"/>
  <c r="L13" i="9"/>
  <c r="C22" i="2"/>
  <c r="B22" i="2"/>
  <c r="O25" i="6"/>
  <c r="C23" i="2"/>
  <c r="N25" i="6"/>
  <c r="O13" i="9" l="1"/>
  <c r="N13" i="9"/>
  <c r="B24" i="2"/>
  <c r="C24" i="2"/>
  <c r="C68" i="2" l="1"/>
  <c r="N2" i="6" l="1"/>
  <c r="O2" i="6"/>
</calcChain>
</file>

<file path=xl/sharedStrings.xml><?xml version="1.0" encoding="utf-8"?>
<sst xmlns="http://schemas.openxmlformats.org/spreadsheetml/2006/main" count="810" uniqueCount="314">
  <si>
    <t>Displacement</t>
  </si>
  <si>
    <t>Engine</t>
  </si>
  <si>
    <t>S65B40</t>
  </si>
  <si>
    <t>Cylinders</t>
  </si>
  <si>
    <t>Piston Bore</t>
  </si>
  <si>
    <t>92.00 mm</t>
  </si>
  <si>
    <t>3.6220 inch</t>
  </si>
  <si>
    <t>Crankshaft Stroke</t>
  </si>
  <si>
    <t>75.2 mm</t>
  </si>
  <si>
    <t>2.9606 inch</t>
  </si>
  <si>
    <t>3999 cc</t>
  </si>
  <si>
    <t>244.05 sq. inches</t>
  </si>
  <si>
    <t>Crankshaft</t>
  </si>
  <si>
    <t>Forged</t>
  </si>
  <si>
    <t>Conecting Rod Length</t>
  </si>
  <si>
    <t>140.72 mm</t>
  </si>
  <si>
    <t>5.5402 inch</t>
  </si>
  <si>
    <t>Connecting Rod Weight</t>
  </si>
  <si>
    <t>621.5 grams</t>
  </si>
  <si>
    <t>21.92 ounces</t>
  </si>
  <si>
    <t>Piston Weight</t>
  </si>
  <si>
    <t>487.0 grams</t>
  </si>
  <si>
    <t>17.18 ounces</t>
  </si>
  <si>
    <t>Crankshaft Main Journals &amp; Bearings</t>
  </si>
  <si>
    <t>Metric Dimensions</t>
  </si>
  <si>
    <t>SAE (Inch) Dimensions</t>
  </si>
  <si>
    <t>Main Journal Dimensions</t>
  </si>
  <si>
    <t>Main Journal Variance</t>
  </si>
  <si>
    <t>Bed plate + Bearing Dimensions</t>
  </si>
  <si>
    <t>Bed Plate + Bearing Variance</t>
  </si>
  <si>
    <t>Nominal Main Bearing Clearance</t>
  </si>
  <si>
    <t>Bearing Clearance Variance</t>
  </si>
  <si>
    <t>Crankshaft Rod Journals</t>
  </si>
  <si>
    <t>Rod Journal Dimensions</t>
  </si>
  <si>
    <t>Rod Journal Variance</t>
  </si>
  <si>
    <t>Rod Journal Tolerance</t>
  </si>
  <si>
    <t>Connecting Rod Dimensions</t>
  </si>
  <si>
    <t>Rod L.E. Bushing Dimensions</t>
  </si>
  <si>
    <t>Rod B.E. Bore Dimensions</t>
  </si>
  <si>
    <t>Rod B.E. Variance</t>
  </si>
  <si>
    <t>Rod B.E. Tolerance</t>
  </si>
  <si>
    <t>Rod B.E. Thickness</t>
  </si>
  <si>
    <t>Bearing Dimensions (088/089 Bearings)</t>
  </si>
  <si>
    <t>Nominal Bearing Thickness (Top, Blue)</t>
  </si>
  <si>
    <t>2.0028 mm</t>
  </si>
  <si>
    <t>0.07885 inch</t>
  </si>
  <si>
    <t>Nominal Bearing Thickness (Bottom, Red)</t>
  </si>
  <si>
    <t>1.9977 mm</t>
  </si>
  <si>
    <t>0.07865 inch</t>
  </si>
  <si>
    <t>Bearing Thickness Variance (Top, Blue)</t>
  </si>
  <si>
    <t>2.0015 - 2.0041 mm</t>
  </si>
  <si>
    <t>0.07880 - 0.07890 inch</t>
  </si>
  <si>
    <t>Bearing Thickness Variance (Bottom, Red)</t>
  </si>
  <si>
    <t>1.9964 - 2.0015 mm</t>
  </si>
  <si>
    <t>0.07860 - 0.07880 inch</t>
  </si>
  <si>
    <t>Bearing Tolerance (Top, Blue)</t>
  </si>
  <si>
    <t>-0.0013, +0.0013 mm</t>
  </si>
  <si>
    <t>-0.00005, +0.00005 inch</t>
  </si>
  <si>
    <t>Bearing Tolerance (Bottom, Red)</t>
  </si>
  <si>
    <t>-0.0013, +0.0038 mm</t>
  </si>
  <si>
    <t>-0.00005, +0.00015 inch</t>
  </si>
  <si>
    <t>Con Rod Clearance (088/089 Bearings) (1)</t>
  </si>
  <si>
    <t>Rod + Bearing Dimensions</t>
  </si>
  <si>
    <t>52.0180 mm</t>
  </si>
  <si>
    <t>2.04795 inch</t>
  </si>
  <si>
    <t>Rod + Bearing Variance (1)</t>
  </si>
  <si>
    <t>52.0141 - 52.0281 mm</t>
  </si>
  <si>
    <t>2.04780 - 2.04835 inch</t>
  </si>
  <si>
    <t>Nominal Rod Bearing Clearance</t>
  </si>
  <si>
    <t>0.0357 mm</t>
  </si>
  <si>
    <t>0.00140 inch</t>
  </si>
  <si>
    <t>Bearing Clearance Variance (1)</t>
  </si>
  <si>
    <t>0.0305 - 0.0470 mm</t>
  </si>
  <si>
    <t>0.00120 - 00185 inch</t>
  </si>
  <si>
    <t>Bearing Clearance Tolerance</t>
  </si>
  <si>
    <t>-0.0051 - +0.0114 mm</t>
  </si>
  <si>
    <t>-0.00020, +0.00045 inch</t>
  </si>
  <si>
    <t>Bearing Clearance per Journal inch</t>
  </si>
  <si>
    <t>0.00068 inch/inch</t>
  </si>
  <si>
    <t>Bearing Clearance per Journal Inch Variance (1)</t>
  </si>
  <si>
    <t>0.00059 - 0.00090 inch/inch</t>
  </si>
  <si>
    <t>Bearing Eccentricity</t>
  </si>
  <si>
    <t>0.0203 mm</t>
  </si>
  <si>
    <t>0.00080 inch</t>
  </si>
  <si>
    <t>Bearing Eccentricity Variance</t>
  </si>
  <si>
    <t>0.0178 - 0.0216 mm</t>
  </si>
  <si>
    <t>0.00070 - 0.00085 inch</t>
  </si>
  <si>
    <t>Bearing Eccentricity Tolerance</t>
  </si>
  <si>
    <t>-0.0038, +0.0013 mm</t>
  </si>
  <si>
    <t>-0.00015, +0.00005 inch</t>
  </si>
  <si>
    <t>Bearing Dimensions (702/703 Bearings)</t>
  </si>
  <si>
    <t>1.9939 mm</t>
  </si>
  <si>
    <t>0.07850 inch</t>
  </si>
  <si>
    <t>1.9977 - 1.9990 mm</t>
  </si>
  <si>
    <t>0.07865 - 0.07870 inch</t>
  </si>
  <si>
    <t>1.9939 - 1.9952 mm</t>
  </si>
  <si>
    <t>0.07850 - 0.07855 inch</t>
  </si>
  <si>
    <t>-0.0000, +0.0013 mm</t>
  </si>
  <si>
    <t>-0.00000, +0.00005 inch</t>
  </si>
  <si>
    <t>Con Rod Clearance (702/703 Bearings)</t>
  </si>
  <si>
    <t>52.0243 mm</t>
  </si>
  <si>
    <t>2.04820 inch</t>
  </si>
  <si>
    <t>Rod + Bearing Variance</t>
  </si>
  <si>
    <t>52.0230 - 52.0294mm</t>
  </si>
  <si>
    <t>2.04815 - 2.04840 inch</t>
  </si>
  <si>
    <t>0.0419 mm</t>
  </si>
  <si>
    <t>0.00165 inch</t>
  </si>
  <si>
    <t>0.0394 - 0.0483 mm</t>
  </si>
  <si>
    <t>0.00155 - 0.00190 inch</t>
  </si>
  <si>
    <t>-0.0025 - +0.0064 mm</t>
  </si>
  <si>
    <t>-.00010 - 0.00025 inch</t>
  </si>
  <si>
    <t>0.00081 inch/inch</t>
  </si>
  <si>
    <t>Bearing Clearance per Journal Inch Variance</t>
  </si>
  <si>
    <t>0.00076 - 0.00093 inch/inch</t>
  </si>
  <si>
    <t>0.0508 mm</t>
  </si>
  <si>
    <t>0.00200 inch</t>
  </si>
  <si>
    <t>0.0445 - 0.0584 mm</t>
  </si>
  <si>
    <t>0.00175 - 0.00230 inch</t>
  </si>
  <si>
    <t>-0.0064, +0.0076 mm</t>
  </si>
  <si>
    <t>-0.00025, +0.00030 inch</t>
  </si>
  <si>
    <t>Rod Bearing Alternatives</t>
  </si>
  <si>
    <t>VAC (Calico) Coated Rod Bearings (2)</t>
  </si>
  <si>
    <t>51.9825 mm</t>
  </si>
  <si>
    <t>2.04655 inch</t>
  </si>
  <si>
    <t>51.9811 - 51.9836 mm</t>
  </si>
  <si>
    <t>2.04650 - 2.04660 inch</t>
  </si>
  <si>
    <t>52.0065 mm</t>
  </si>
  <si>
    <t>2.04750 inch</t>
  </si>
  <si>
    <t>52.0052 - 52.0230 mm</t>
  </si>
  <si>
    <t>2.04745 - 2.04815</t>
  </si>
  <si>
    <t>0.0241 mm</t>
  </si>
  <si>
    <t>0.00095 inch</t>
  </si>
  <si>
    <t>0.0216 - 0.0419 mm</t>
  </si>
  <si>
    <t>0.00085 - 0.00165 inch</t>
  </si>
  <si>
    <t>2.0048 mm</t>
  </si>
  <si>
    <t>0.07893 inch</t>
  </si>
  <si>
    <t>2.0023 mm</t>
  </si>
  <si>
    <t>0.07883 inch</t>
  </si>
  <si>
    <t>WPC Treated Rod Bearings (3)</t>
  </si>
  <si>
    <t>2.04822 inch</t>
  </si>
  <si>
    <t>52.0040 - 52.0217 mm</t>
  </si>
  <si>
    <t>2.04820 - 2.04825</t>
  </si>
  <si>
    <t>0.0243 mm</t>
  </si>
  <si>
    <t>0.00167 inch</t>
  </si>
  <si>
    <t>0.0203 - 0.0406 mm</t>
  </si>
  <si>
    <t>0.00160 - 0.00175 inch</t>
  </si>
  <si>
    <t>1.9999 mm</t>
  </si>
  <si>
    <t>0.07870 inch</t>
  </si>
  <si>
    <t>1.9952 mm</t>
  </si>
  <si>
    <t>0.07855 inch</t>
  </si>
  <si>
    <t>Notes:</t>
  </si>
  <si>
    <t>(1) Includes previous measurement results from Van Dyne Engineering</t>
  </si>
  <si>
    <t>(2) Two VAC bearings were measured, not a complete set.  The bearings were not placed in connecting rods and torqued.  The clearances were calculated based on comparisons to new factory bearing samples measured at the same time, same temperatures, and same equipment.  The dimensions listed above are approximated based on bearing thickness differences compared to the control samples measured at the same time, same temperature, and same measuring equipment.</t>
  </si>
  <si>
    <t>(3) Two WPC bearings were measured, not a complete set.  The bearings were also placed in connecting rods, torqued, and clearances properly measured.  The dimensions listed above are actual dimensions and not approximated based on bearing thickness differences.</t>
  </si>
  <si>
    <t>Crankshaft History</t>
  </si>
  <si>
    <t>BMW Part Number</t>
  </si>
  <si>
    <t>Description</t>
  </si>
  <si>
    <t>Weight</t>
  </si>
  <si>
    <t>Kgs</t>
  </si>
  <si>
    <t>Application</t>
  </si>
  <si>
    <t>Prod. Start</t>
  </si>
  <si>
    <t>Prod. End</t>
  </si>
  <si>
    <t>Superceded By</t>
  </si>
  <si>
    <t>11 21 0 390 426</t>
  </si>
  <si>
    <t>Crankshaft with Bearings</t>
  </si>
  <si>
    <t>41.8 lb</t>
  </si>
  <si>
    <t>19.0 kg</t>
  </si>
  <si>
    <t>S85B50</t>
  </si>
  <si>
    <t>11 21 0 390 427</t>
  </si>
  <si>
    <t>11 21 7 841 660</t>
  </si>
  <si>
    <t>43.9 lb</t>
  </si>
  <si>
    <t>19.9 kg</t>
  </si>
  <si>
    <t>11 21 0 443 602</t>
  </si>
  <si>
    <t>41.0 lb</t>
  </si>
  <si>
    <t>18.6 kg</t>
  </si>
  <si>
    <t>Present</t>
  </si>
  <si>
    <t>11 21 7 841 641</t>
  </si>
  <si>
    <t>11 21 7 841 658</t>
  </si>
  <si>
    <t>45.0 lb</t>
  </si>
  <si>
    <t>20.4 kg</t>
  </si>
  <si>
    <t>11 21 0 443 639</t>
  </si>
  <si>
    <t>Main Bearing History</t>
  </si>
  <si>
    <t>Location</t>
  </si>
  <si>
    <t>Color</t>
  </si>
  <si>
    <t>Standard Size Bearings</t>
  </si>
  <si>
    <t>11 21 7 836 532</t>
  </si>
  <si>
    <t>Main Bearing Shell</t>
  </si>
  <si>
    <t>Top</t>
  </si>
  <si>
    <t>Green</t>
  </si>
  <si>
    <t>60.00 mm (+0.00 mm)</t>
  </si>
  <si>
    <t>11 21 7 841 489</t>
  </si>
  <si>
    <t>11 21 7 836 517</t>
  </si>
  <si>
    <t>Main Guide Bearing Shell</t>
  </si>
  <si>
    <t>11 21 7 841 499</t>
  </si>
  <si>
    <t>11 21 7 836 539</t>
  </si>
  <si>
    <t>Bottom</t>
  </si>
  <si>
    <t>11 21 7 841 484</t>
  </si>
  <si>
    <t>11 21 7 836 524</t>
  </si>
  <si>
    <t>11 21 7 841 494</t>
  </si>
  <si>
    <t>S85B50, S65B40, S65B44</t>
  </si>
  <si>
    <t>11 21 7 841 610</t>
  </si>
  <si>
    <t>11 21 7 841 618</t>
  </si>
  <si>
    <t>11 21 7 841 606</t>
  </si>
  <si>
    <t>11 21 7 841 614</t>
  </si>
  <si>
    <t>Oversize Bearings</t>
  </si>
  <si>
    <t>R1</t>
  </si>
  <si>
    <t>R2</t>
  </si>
  <si>
    <t>R3</t>
  </si>
  <si>
    <t>R4</t>
  </si>
  <si>
    <t>R5</t>
  </si>
  <si>
    <t>R6</t>
  </si>
  <si>
    <t>R7</t>
  </si>
  <si>
    <t>R8</t>
  </si>
  <si>
    <t>Max</t>
  </si>
  <si>
    <t>Official</t>
  </si>
  <si>
    <t>Min Dev.</t>
  </si>
  <si>
    <t>Max Dev.</t>
  </si>
  <si>
    <t>Thickness</t>
  </si>
  <si>
    <t>Cyl-1</t>
  </si>
  <si>
    <t>Cyl-2</t>
  </si>
  <si>
    <t>Cyl-3</t>
  </si>
  <si>
    <t>Cyl-4</t>
  </si>
  <si>
    <t>Cyl-5</t>
  </si>
  <si>
    <t>Cyl-6</t>
  </si>
  <si>
    <t>Cyl-7</t>
  </si>
  <si>
    <t>Cyl-8</t>
  </si>
  <si>
    <t>Min</t>
  </si>
  <si>
    <t>Crank-1, Rod Journals</t>
  </si>
  <si>
    <t>Crank-1, Rod/Bearing Bore</t>
  </si>
  <si>
    <t>Crank-1 Bearing Clearance</t>
  </si>
  <si>
    <t>Engine-1</t>
  </si>
  <si>
    <t>Engine-2</t>
  </si>
  <si>
    <t>Engine-3</t>
  </si>
  <si>
    <t>Engine-4</t>
  </si>
  <si>
    <t>Engine-5</t>
  </si>
  <si>
    <t>Engine-6</t>
  </si>
  <si>
    <t>Engine-7</t>
  </si>
  <si>
    <t>Engine-8</t>
  </si>
  <si>
    <t>Engine-9</t>
  </si>
  <si>
    <t>Engine-10</t>
  </si>
  <si>
    <t>Engine-11</t>
  </si>
  <si>
    <t>Engine-12</t>
  </si>
  <si>
    <t>Connecting Rod Bearing History</t>
  </si>
  <si>
    <t>11 24 7 835 662</t>
  </si>
  <si>
    <t>Connecting Rod Bearing</t>
  </si>
  <si>
    <t>Red</t>
  </si>
  <si>
    <t>52.00 mm (+0.00 mm)</t>
  </si>
  <si>
    <t>11 24 7 836 288</t>
  </si>
  <si>
    <t>11 24 7 835 663</t>
  </si>
  <si>
    <t>Blue</t>
  </si>
  <si>
    <t>11 24 7 836 289</t>
  </si>
  <si>
    <t>11 24 7 838 088</t>
  </si>
  <si>
    <t>11 24 7 838 089</t>
  </si>
  <si>
    <t>11 24 7 841 702</t>
  </si>
  <si>
    <t>11 24 7 841 703</t>
  </si>
  <si>
    <t>11 24 7 835 974</t>
  </si>
  <si>
    <t>51.75 mm (+0.25 mm)</t>
  </si>
  <si>
    <t>11 24 7 836 290</t>
  </si>
  <si>
    <t>11 24 7 835 975</t>
  </si>
  <si>
    <t>11 24 7 836 291</t>
  </si>
  <si>
    <t>11 24 7 838 090</t>
  </si>
  <si>
    <t>11 24 7 838 091</t>
  </si>
  <si>
    <t>J-Size</t>
  </si>
  <si>
    <t>Deviations</t>
  </si>
  <si>
    <t>Rounded up</t>
  </si>
  <si>
    <t>Raw</t>
  </si>
  <si>
    <t>703 (Blue)</t>
  </si>
  <si>
    <t>702 (Red)</t>
  </si>
  <si>
    <t>089 (Blue)</t>
  </si>
  <si>
    <t>088 (Red)</t>
  </si>
  <si>
    <t>Degrees</t>
  </si>
  <si>
    <t>702/703</t>
  </si>
  <si>
    <t>Ambient</t>
  </si>
  <si>
    <t>Rod Temp</t>
  </si>
  <si>
    <t>Clearance</t>
  </si>
  <si>
    <t>Min Clearance</t>
  </si>
  <si>
    <t>Max Clearance</t>
  </si>
  <si>
    <t>088/089</t>
  </si>
  <si>
    <t>Crank-1</t>
  </si>
  <si>
    <t>Crank-2</t>
  </si>
  <si>
    <t>Main-1</t>
  </si>
  <si>
    <t>Main-2</t>
  </si>
  <si>
    <t>Main-4</t>
  </si>
  <si>
    <t>Main-5</t>
  </si>
  <si>
    <t>Main-3</t>
  </si>
  <si>
    <t>Bearing-1</t>
  </si>
  <si>
    <t>Bearing-2</t>
  </si>
  <si>
    <t>Bearing-3</t>
  </si>
  <si>
    <t>Bearing-4</t>
  </si>
  <si>
    <t>Bearing-5</t>
  </si>
  <si>
    <t>Clear-1</t>
  </si>
  <si>
    <t>Clear-2</t>
  </si>
  <si>
    <t>Clear-3</t>
  </si>
  <si>
    <t>Clear-4</t>
  </si>
  <si>
    <t>Clear-5</t>
  </si>
  <si>
    <t>Main</t>
  </si>
  <si>
    <t>Bearing</t>
  </si>
  <si>
    <t>Nominal</t>
  </si>
  <si>
    <t>Main Journal Tolerance</t>
  </si>
  <si>
    <t>1-4</t>
  </si>
  <si>
    <t>Thick</t>
  </si>
  <si>
    <t>L.E.</t>
  </si>
  <si>
    <t>B.E.</t>
  </si>
  <si>
    <t>Sleeve-1</t>
  </si>
  <si>
    <t>Sleeve-2</t>
  </si>
  <si>
    <t>CARR-01</t>
  </si>
  <si>
    <t>CARR-02</t>
  </si>
  <si>
    <t>OEM-01</t>
  </si>
  <si>
    <t>B.E.Raw</t>
  </si>
  <si>
    <t>B.E.Adj</t>
  </si>
  <si>
    <t>Tickness</t>
  </si>
  <si>
    <t>Eccentricity</t>
  </si>
  <si>
    <t>WPC</t>
  </si>
  <si>
    <t>Calico</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</si>
</sst>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mmm\-yy;@"/>
    <numFmt numFmtId="165" formatCode="0.00000"/>
  </numFmts>
  <fonts count="7" x14ac:knownFonts="1">
    <font>
      <sz val="11"/>
      <color rgb="FF000000"/>
      <name val="Calibri"/>
      <family val="2"/>
      <charset val="1"/>
    </font>
    <font>
      <b/>
      <sz val="10"/>
      <color rgb="FFFFFFFF"/>
      <name val="Calibri"/>
      <family val="2"/>
      <charset val="1"/>
    </font>
    <font>
      <sz val="10"/>
      <color rgb="FF000000"/>
      <name val="Calibri"/>
      <family val="2"/>
      <charset val="1"/>
    </font>
    <font>
      <sz val="10"/>
      <color rgb="FF000000"/>
      <name val="Calibri"/>
      <family val="2"/>
    </font>
    <font>
      <sz val="10"/>
      <color rgb="FF000000"/>
      <name val="Arial"/>
      <family val="2"/>
      <charset val="1"/>
    </font>
    <font>
      <b/>
      <sz val="14"/>
      <color rgb="FFFFFFFF"/>
      <name val="Arial"/>
      <family val="2"/>
      <charset val="1"/>
    </font>
    <font>
      <b/>
      <sz val="10"/>
      <color rgb="FFFFFFFF"/>
      <name val="Arial"/>
      <family val="2"/>
      <charset val="1"/>
    </font>
  </fonts>
  <fills count="9">
    <fill>
      <patternFill patternType="none"/>
    </fill>
    <fill>
      <patternFill patternType="gray125"/>
    </fill>
    <fill>
      <patternFill patternType="solid">
        <fgColor rgb="FF010101"/>
        <bgColor rgb="FF000000"/>
      </patternFill>
    </fill>
    <fill>
      <patternFill patternType="solid">
        <fgColor rgb="FFC0C0C0"/>
        <bgColor rgb="FFCCCCCC"/>
      </patternFill>
    </fill>
    <fill>
      <patternFill patternType="solid">
        <fgColor rgb="FFFFFFFF"/>
        <bgColor rgb="FFFFFFCC"/>
      </patternFill>
    </fill>
    <fill>
      <patternFill patternType="solid">
        <fgColor rgb="FF666666"/>
        <bgColor rgb="FF808080"/>
      </patternFill>
    </fill>
    <fill>
      <patternFill patternType="solid">
        <fgColor rgb="FFCCCCCC"/>
        <bgColor rgb="FFC0C0C0"/>
      </patternFill>
    </fill>
    <fill>
      <patternFill patternType="solid">
        <fgColor theme="0" tint="-0.249977111117893"/>
        <bgColor indexed="64"/>
      </patternFill>
    </fill>
    <fill>
      <patternFill patternType="solid">
        <fgColor theme="0" tint="-0.249977111117893"/>
        <bgColor rgb="FFCCCCCC"/>
      </patternFill>
    </fill>
  </fills>
  <borders count="10">
    <border>
      <left/>
      <right/>
      <top/>
      <bottom/>
      <diagonal/>
    </border>
    <border>
      <left style="thick">
        <color rgb="FFFFFFFF"/>
      </left>
      <right/>
      <top style="thick">
        <color rgb="FFFFFFFF"/>
      </top>
      <bottom/>
      <diagonal/>
    </border>
    <border>
      <left/>
      <right/>
      <top style="thick">
        <color rgb="FFFFFFFF"/>
      </top>
      <bottom/>
      <diagonal/>
    </border>
    <border>
      <left/>
      <right style="thick">
        <color rgb="FFFFFFFF"/>
      </right>
      <top style="thick">
        <color rgb="FFFFFFFF"/>
      </top>
      <bottom/>
      <diagonal/>
    </border>
    <border>
      <left style="thick">
        <color rgb="FFFFFFFF"/>
      </left>
      <right/>
      <top/>
      <bottom/>
      <diagonal/>
    </border>
    <border>
      <left/>
      <right style="thick">
        <color rgb="FFFFFFFF"/>
      </right>
      <top/>
      <bottom/>
      <diagonal/>
    </border>
    <border>
      <left style="thick">
        <color rgb="FFFFFFFF"/>
      </left>
      <right/>
      <top/>
      <bottom style="thick">
        <color rgb="FFFFFFFF"/>
      </bottom>
      <diagonal/>
    </border>
    <border>
      <left/>
      <right/>
      <top/>
      <bottom style="thick">
        <color rgb="FFFFFFFF"/>
      </bottom>
      <diagonal/>
    </border>
    <border>
      <left/>
      <right style="thick">
        <color rgb="FFFFFFFF"/>
      </right>
      <top/>
      <bottom style="thick">
        <color rgb="FFFFFFFF"/>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87">
    <xf numFmtId="0" fontId="0" fillId="0" borderId="0" xfId="0"/>
    <xf numFmtId="0" fontId="0" fillId="0" borderId="0" xfId="0" applyAlignment="1">
      <alignment vertical="center"/>
    </xf>
    <xf numFmtId="0" fontId="0" fillId="0" borderId="0" xfId="0" applyAlignment="1">
      <alignment horizontal="left" vertical="center"/>
    </xf>
    <xf numFmtId="0" fontId="1" fillId="2" borderId="1" xfId="0" applyFont="1" applyFill="1" applyBorder="1" applyAlignment="1">
      <alignment vertical="center" wrapText="1"/>
    </xf>
    <xf numFmtId="0" fontId="1" fillId="2" borderId="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0" borderId="4" xfId="0" applyFont="1" applyBorder="1" applyAlignment="1">
      <alignment vertical="center" wrapText="1"/>
    </xf>
    <xf numFmtId="0" fontId="2" fillId="0" borderId="0" xfId="0" applyFont="1" applyAlignment="1">
      <alignment horizontal="left" vertical="center" wrapText="1"/>
    </xf>
    <xf numFmtId="0" fontId="2" fillId="0" borderId="5" xfId="0" applyFont="1" applyBorder="1" applyAlignment="1">
      <alignment horizontal="left" vertical="center" wrapText="1"/>
    </xf>
    <xf numFmtId="0" fontId="0" fillId="0" borderId="0" xfId="0"/>
    <xf numFmtId="0" fontId="2" fillId="3" borderId="4" xfId="0" applyFont="1" applyFill="1" applyBorder="1" applyAlignment="1">
      <alignment vertical="center" wrapText="1"/>
    </xf>
    <xf numFmtId="0" fontId="2" fillId="3" borderId="0" xfId="0" applyFont="1" applyFill="1" applyAlignment="1">
      <alignment horizontal="left" vertical="center" wrapText="1"/>
    </xf>
    <xf numFmtId="0" fontId="2" fillId="3" borderId="5" xfId="0" applyFont="1" applyFill="1" applyBorder="1" applyAlignment="1">
      <alignment horizontal="left" vertical="center" wrapText="1"/>
    </xf>
    <xf numFmtId="0" fontId="0" fillId="3" borderId="0" xfId="0" applyFill="1"/>
    <xf numFmtId="0" fontId="2" fillId="4" borderId="4" xfId="0" applyFont="1" applyFill="1" applyBorder="1" applyAlignment="1">
      <alignment vertical="center" wrapText="1"/>
    </xf>
    <xf numFmtId="0" fontId="2" fillId="4" borderId="0" xfId="0" applyFont="1" applyFill="1" applyAlignment="1">
      <alignment horizontal="left" vertical="center" wrapText="1"/>
    </xf>
    <xf numFmtId="0" fontId="2" fillId="4" borderId="5" xfId="0" applyFont="1" applyFill="1" applyBorder="1" applyAlignment="1">
      <alignment horizontal="left" vertical="center" wrapText="1"/>
    </xf>
    <xf numFmtId="0" fontId="1" fillId="5" borderId="4" xfId="0" applyFont="1" applyFill="1" applyBorder="1" applyAlignment="1">
      <alignment vertical="center" wrapText="1"/>
    </xf>
    <xf numFmtId="0" fontId="1" fillId="5" borderId="0" xfId="0" applyFont="1" applyFill="1" applyAlignment="1">
      <alignment horizontal="left" vertical="center" wrapText="1"/>
    </xf>
    <xf numFmtId="0" fontId="1" fillId="5" borderId="5" xfId="0" applyFont="1" applyFill="1" applyBorder="1" applyAlignment="1">
      <alignment horizontal="left" vertical="center" wrapText="1"/>
    </xf>
    <xf numFmtId="0" fontId="3" fillId="0" borderId="0" xfId="0" applyFont="1" applyAlignment="1">
      <alignment horizontal="left" vertical="center" wrapText="1"/>
    </xf>
    <xf numFmtId="0" fontId="2" fillId="6" borderId="4" xfId="0" applyFont="1" applyFill="1" applyBorder="1" applyAlignment="1">
      <alignment vertical="center" wrapText="1"/>
    </xf>
    <xf numFmtId="0" fontId="2" fillId="6" borderId="0" xfId="0" applyFont="1" applyFill="1" applyAlignment="1">
      <alignment horizontal="left" vertical="center" wrapText="1"/>
    </xf>
    <xf numFmtId="0" fontId="2" fillId="6" borderId="5" xfId="0" applyFont="1" applyFill="1" applyBorder="1" applyAlignment="1">
      <alignment horizontal="left" vertical="center" wrapText="1"/>
    </xf>
    <xf numFmtId="0" fontId="0" fillId="6" borderId="0" xfId="0" applyFill="1"/>
    <xf numFmtId="0" fontId="2" fillId="0" borderId="0" xfId="0" applyFont="1" applyAlignment="1">
      <alignment vertical="center"/>
    </xf>
    <xf numFmtId="0" fontId="2" fillId="0" borderId="0" xfId="0" applyFont="1" applyAlignment="1">
      <alignment horizontal="left" vertical="center"/>
    </xf>
    <xf numFmtId="0" fontId="2" fillId="6" borderId="0" xfId="0" applyFont="1" applyFill="1" applyAlignment="1">
      <alignment vertical="center"/>
    </xf>
    <xf numFmtId="0" fontId="2" fillId="6" borderId="0" xfId="0" applyFont="1" applyFill="1" applyAlignment="1">
      <alignment horizontal="left" vertical="center"/>
    </xf>
    <xf numFmtId="0" fontId="2" fillId="0" borderId="0" xfId="0" applyFont="1" applyAlignment="1">
      <alignment vertical="center"/>
    </xf>
    <xf numFmtId="0" fontId="2" fillId="0" borderId="0" xfId="0" applyFont="1" applyAlignment="1">
      <alignment horizontal="left" vertical="center"/>
    </xf>
    <xf numFmtId="0" fontId="2" fillId="3" borderId="0" xfId="0" applyFont="1" applyFill="1" applyAlignment="1">
      <alignment vertical="center"/>
    </xf>
    <xf numFmtId="0" fontId="2" fillId="3" borderId="0" xfId="0" applyFont="1" applyFill="1" applyAlignment="1">
      <alignment horizontal="left" vertical="center"/>
    </xf>
    <xf numFmtId="0" fontId="2" fillId="0" borderId="0" xfId="0" applyFont="1"/>
    <xf numFmtId="0" fontId="2" fillId="6" borderId="0" xfId="0" applyFont="1" applyFill="1"/>
    <xf numFmtId="0" fontId="2" fillId="0" borderId="0" xfId="0" applyFont="1"/>
    <xf numFmtId="0" fontId="1" fillId="2" borderId="4" xfId="0" applyFont="1" applyFill="1" applyBorder="1" applyAlignment="1">
      <alignment vertical="center" wrapText="1"/>
    </xf>
    <xf numFmtId="0" fontId="2" fillId="2" borderId="0" xfId="0" applyFont="1" applyFill="1" applyAlignment="1">
      <alignment horizontal="left" vertical="center" wrapText="1"/>
    </xf>
    <xf numFmtId="0" fontId="2" fillId="2" borderId="5" xfId="0" applyFont="1" applyFill="1" applyBorder="1" applyAlignment="1">
      <alignment horizontal="left" vertical="center" wrapText="1"/>
    </xf>
    <xf numFmtId="0" fontId="2" fillId="3" borderId="6" xfId="0" applyFont="1" applyFill="1" applyBorder="1" applyAlignment="1">
      <alignment vertical="center" wrapText="1"/>
    </xf>
    <xf numFmtId="0" fontId="2" fillId="3" borderId="7" xfId="0" applyFont="1" applyFill="1" applyBorder="1" applyAlignment="1">
      <alignment horizontal="left" vertical="center" wrapText="1"/>
    </xf>
    <xf numFmtId="0" fontId="2" fillId="3" borderId="8" xfId="0" applyFont="1" applyFill="1" applyBorder="1" applyAlignment="1">
      <alignment horizontal="left" vertical="center" wrapText="1"/>
    </xf>
    <xf numFmtId="0" fontId="4" fillId="0" borderId="0" xfId="0" applyFont="1" applyAlignment="1">
      <alignment horizontal="left"/>
    </xf>
    <xf numFmtId="164" fontId="4" fillId="0" borderId="0" xfId="0" applyNumberFormat="1" applyFont="1" applyAlignment="1">
      <alignment horizontal="left"/>
    </xf>
    <xf numFmtId="0" fontId="4" fillId="0" borderId="0" xfId="0" applyFont="1"/>
    <xf numFmtId="0" fontId="5" fillId="2" borderId="0" xfId="0" applyFont="1" applyFill="1" applyAlignment="1">
      <alignment horizontal="left"/>
    </xf>
    <xf numFmtId="164" fontId="5" fillId="2" borderId="0" xfId="0" applyNumberFormat="1" applyFont="1" applyFill="1" applyAlignment="1">
      <alignment horizontal="left"/>
    </xf>
    <xf numFmtId="0" fontId="5" fillId="2" borderId="0" xfId="0" applyFont="1" applyFill="1"/>
    <xf numFmtId="0" fontId="6" fillId="5" borderId="0" xfId="0" applyFont="1" applyFill="1" applyAlignment="1">
      <alignment horizontal="left"/>
    </xf>
    <xf numFmtId="164" fontId="6" fillId="5" borderId="0" xfId="0" applyNumberFormat="1" applyFont="1" applyFill="1" applyAlignment="1">
      <alignment horizontal="left"/>
    </xf>
    <xf numFmtId="0" fontId="4" fillId="0" borderId="0" xfId="0" applyFont="1" applyAlignment="1">
      <alignment horizontal="left"/>
    </xf>
    <xf numFmtId="164" fontId="4" fillId="0" borderId="0" xfId="0" applyNumberFormat="1" applyFont="1" applyAlignment="1">
      <alignment horizontal="left"/>
    </xf>
    <xf numFmtId="0" fontId="4" fillId="0" borderId="0" xfId="0" applyFont="1"/>
    <xf numFmtId="0" fontId="4" fillId="3" borderId="0" xfId="0" applyFont="1" applyFill="1" applyAlignment="1">
      <alignment horizontal="left"/>
    </xf>
    <xf numFmtId="164" fontId="4" fillId="3" borderId="0" xfId="0" applyNumberFormat="1" applyFont="1" applyFill="1" applyAlignment="1">
      <alignment horizontal="left"/>
    </xf>
    <xf numFmtId="0" fontId="4" fillId="3" borderId="0" xfId="0" applyFont="1" applyFill="1"/>
    <xf numFmtId="165" fontId="0" fillId="0" borderId="0" xfId="0" applyNumberFormat="1" applyFont="1" applyAlignment="1">
      <alignment horizontal="center"/>
    </xf>
    <xf numFmtId="165" fontId="0" fillId="0" borderId="0" xfId="0" applyNumberFormat="1" applyAlignment="1">
      <alignment horizontal="left" vertical="top"/>
    </xf>
    <xf numFmtId="0" fontId="0" fillId="0" borderId="0" xfId="0" applyAlignment="1">
      <alignment vertical="top"/>
    </xf>
    <xf numFmtId="165" fontId="2" fillId="0" borderId="0" xfId="0" applyNumberFormat="1" applyFont="1" applyBorder="1" applyAlignment="1">
      <alignment horizontal="center" vertical="top" wrapText="1"/>
    </xf>
    <xf numFmtId="165" fontId="0" fillId="0" borderId="0" xfId="0" applyNumberFormat="1" applyAlignment="1">
      <alignment vertical="top"/>
    </xf>
    <xf numFmtId="165" fontId="0" fillId="0" borderId="0" xfId="0" applyNumberFormat="1"/>
    <xf numFmtId="165" fontId="0" fillId="0" borderId="0" xfId="0" applyNumberFormat="1" applyAlignment="1">
      <alignment vertical="top"/>
    </xf>
    <xf numFmtId="0" fontId="0" fillId="0" borderId="0" xfId="0" applyFont="1" applyAlignment="1">
      <alignment vertical="center"/>
    </xf>
    <xf numFmtId="0" fontId="0" fillId="0" borderId="0" xfId="0" applyFont="1" applyAlignment="1">
      <alignment horizontal="left" vertical="center"/>
    </xf>
    <xf numFmtId="0" fontId="0" fillId="3" borderId="0" xfId="0" applyFont="1" applyFill="1" applyAlignment="1">
      <alignment vertical="center"/>
    </xf>
    <xf numFmtId="0" fontId="0" fillId="3" borderId="0" xfId="0" applyFont="1" applyFill="1" applyAlignment="1">
      <alignment horizontal="left" vertical="center"/>
    </xf>
    <xf numFmtId="165" fontId="0" fillId="0" borderId="0" xfId="0" applyNumberFormat="1" applyAlignment="1">
      <alignment horizontal="center"/>
    </xf>
    <xf numFmtId="16" fontId="4" fillId="0" borderId="0" xfId="0" quotePrefix="1" applyNumberFormat="1" applyFont="1" applyAlignment="1">
      <alignment horizontal="center"/>
    </xf>
    <xf numFmtId="0" fontId="4" fillId="0" borderId="0" xfId="0" quotePrefix="1" applyFont="1" applyAlignment="1">
      <alignment horizontal="center"/>
    </xf>
    <xf numFmtId="0" fontId="4" fillId="0" borderId="0" xfId="0" applyFont="1" applyAlignment="1">
      <alignment horizontal="center"/>
    </xf>
    <xf numFmtId="0" fontId="0" fillId="0" borderId="0" xfId="0" applyAlignment="1">
      <alignment horizontal="center"/>
    </xf>
    <xf numFmtId="0" fontId="6" fillId="5" borderId="0" xfId="0" applyFont="1" applyFill="1" applyAlignment="1">
      <alignment horizontal="center"/>
    </xf>
    <xf numFmtId="0" fontId="0" fillId="0" borderId="0" xfId="0" applyAlignment="1">
      <alignment horizontal="center"/>
    </xf>
    <xf numFmtId="165" fontId="0" fillId="0" borderId="9" xfId="0" applyNumberFormat="1" applyBorder="1"/>
    <xf numFmtId="0" fontId="0" fillId="0" borderId="9" xfId="0" applyBorder="1"/>
    <xf numFmtId="165" fontId="0" fillId="0" borderId="9" xfId="0" applyNumberFormat="1" applyBorder="1" applyAlignment="1">
      <alignment horizontal="center"/>
    </xf>
    <xf numFmtId="0" fontId="0" fillId="0" borderId="9" xfId="0" applyBorder="1" applyAlignment="1">
      <alignment vertical="center"/>
    </xf>
    <xf numFmtId="0" fontId="2" fillId="0" borderId="4" xfId="0" applyFont="1" applyFill="1" applyBorder="1" applyAlignment="1">
      <alignment vertical="center" wrapText="1"/>
    </xf>
    <xf numFmtId="0" fontId="2" fillId="0" borderId="0" xfId="0" applyFont="1" applyFill="1" applyAlignment="1">
      <alignment horizontal="left" vertical="center" wrapText="1"/>
    </xf>
    <xf numFmtId="0" fontId="2" fillId="0" borderId="5" xfId="0" applyFont="1" applyFill="1" applyBorder="1" applyAlignment="1">
      <alignment horizontal="left" vertical="center" wrapText="1"/>
    </xf>
    <xf numFmtId="0" fontId="2" fillId="7" borderId="4" xfId="0" applyFont="1" applyFill="1" applyBorder="1" applyAlignment="1">
      <alignment vertical="center" wrapText="1"/>
    </xf>
    <xf numFmtId="0" fontId="2" fillId="7" borderId="0" xfId="0" applyFont="1" applyFill="1" applyAlignment="1">
      <alignment horizontal="left" vertical="center" wrapText="1"/>
    </xf>
    <xf numFmtId="0" fontId="2" fillId="7" borderId="5" xfId="0" applyFont="1" applyFill="1" applyBorder="1" applyAlignment="1">
      <alignment horizontal="left" vertical="center" wrapText="1"/>
    </xf>
    <xf numFmtId="0" fontId="0" fillId="8" borderId="0" xfId="0" applyFill="1"/>
    <xf numFmtId="0" fontId="0" fillId="0" borderId="0" xfId="0" applyFill="1"/>
    <xf numFmtId="0" fontId="0" fillId="7" borderId="0" xfId="0" applyFill="1"/>
  </cellXfs>
  <cellStyles count="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CC"/>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66"/>
      <rgbColor rgb="00969696"/>
      <rgbColor rgb="00003366"/>
      <rgbColor rgb="00339966"/>
      <rgbColor rgb="00010101"/>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65538"/>
  <sheetViews>
    <sheetView tabSelected="1" topLeftCell="A53" zoomScaleNormal="100" workbookViewId="0">
      <selection activeCell="A86" sqref="A86"/>
    </sheetView>
  </sheetViews>
  <sheetFormatPr defaultRowHeight="15" x14ac:dyDescent="0.25"/>
  <cols>
    <col min="1" max="1" width="48.85546875" style="1"/>
    <col min="2" max="3" width="48.85546875" style="2"/>
    <col min="4" max="1025" width="8.5703125"/>
  </cols>
  <sheetData>
    <row r="1" spans="1:3" ht="15.75" customHeight="1" x14ac:dyDescent="0.25">
      <c r="A1" s="3" t="s">
        <v>1</v>
      </c>
      <c r="B1" s="4" t="s">
        <v>2</v>
      </c>
      <c r="C1" s="5"/>
    </row>
    <row r="2" spans="1:3" s="9" customFormat="1" ht="15" customHeight="1" x14ac:dyDescent="0.25">
      <c r="A2" s="6" t="s">
        <v>3</v>
      </c>
      <c r="B2" s="7">
        <v>8</v>
      </c>
      <c r="C2" s="8"/>
    </row>
    <row r="3" spans="1:3" s="13" customFormat="1" ht="15" customHeight="1" x14ac:dyDescent="0.25">
      <c r="A3" s="10" t="s">
        <v>4</v>
      </c>
      <c r="B3" s="11" t="s">
        <v>5</v>
      </c>
      <c r="C3" s="12" t="s">
        <v>6</v>
      </c>
    </row>
    <row r="4" spans="1:3" s="9" customFormat="1" ht="15" customHeight="1" x14ac:dyDescent="0.25">
      <c r="A4" s="6" t="s">
        <v>7</v>
      </c>
      <c r="B4" s="7" t="s">
        <v>8</v>
      </c>
      <c r="C4" s="8" t="s">
        <v>9</v>
      </c>
    </row>
    <row r="5" spans="1:3" s="13" customFormat="1" ht="15" customHeight="1" x14ac:dyDescent="0.25">
      <c r="A5" s="10" t="s">
        <v>0</v>
      </c>
      <c r="B5" s="11" t="s">
        <v>10</v>
      </c>
      <c r="C5" s="12" t="s">
        <v>11</v>
      </c>
    </row>
    <row r="6" spans="1:3" s="9" customFormat="1" ht="15" customHeight="1" x14ac:dyDescent="0.25">
      <c r="A6" s="6" t="s">
        <v>12</v>
      </c>
      <c r="B6" s="7" t="s">
        <v>13</v>
      </c>
      <c r="C6" s="8"/>
    </row>
    <row r="7" spans="1:3" s="13" customFormat="1" ht="15" customHeight="1" x14ac:dyDescent="0.25">
      <c r="A7" s="10" t="s">
        <v>14</v>
      </c>
      <c r="B7" s="11" t="s">
        <v>15</v>
      </c>
      <c r="C7" s="12" t="s">
        <v>16</v>
      </c>
    </row>
    <row r="8" spans="1:3" s="9" customFormat="1" ht="15" customHeight="1" x14ac:dyDescent="0.25">
      <c r="A8" s="6" t="s">
        <v>17</v>
      </c>
      <c r="B8" s="7" t="s">
        <v>18</v>
      </c>
      <c r="C8" s="8" t="s">
        <v>19</v>
      </c>
    </row>
    <row r="9" spans="1:3" s="13" customFormat="1" ht="15" customHeight="1" x14ac:dyDescent="0.25">
      <c r="A9" s="10" t="s">
        <v>20</v>
      </c>
      <c r="B9" s="11" t="s">
        <v>21</v>
      </c>
      <c r="C9" s="12" t="s">
        <v>22</v>
      </c>
    </row>
    <row r="10" spans="1:3" ht="15" customHeight="1" x14ac:dyDescent="0.25">
      <c r="A10" s="14"/>
      <c r="B10" s="15"/>
      <c r="C10" s="16"/>
    </row>
    <row r="11" spans="1:3" ht="15" customHeight="1" x14ac:dyDescent="0.25">
      <c r="A11" s="17" t="s">
        <v>23</v>
      </c>
      <c r="B11" s="18" t="s">
        <v>24</v>
      </c>
      <c r="C11" s="19" t="s">
        <v>25</v>
      </c>
    </row>
    <row r="12" spans="1:3" s="85" customFormat="1" ht="15" customHeight="1" x14ac:dyDescent="0.25">
      <c r="A12" s="78" t="s">
        <v>26</v>
      </c>
      <c r="B12" s="79" t="str">
        <f>CONCATENATE(TEXT('Crank-Main'!U2*25.4,"0.0000")," mm")</f>
        <v>59.9758 mm</v>
      </c>
      <c r="C12" s="80" t="str">
        <f>CONCATENATE(TEXT('Crank-Main'!U2, "0.00000"), " inch")</f>
        <v>2.36125 inch</v>
      </c>
    </row>
    <row r="13" spans="1:3" s="86" customFormat="1" ht="15" customHeight="1" x14ac:dyDescent="0.25">
      <c r="A13" s="81" t="s">
        <v>27</v>
      </c>
      <c r="B13" s="82" t="str">
        <f>CONCATENATE(TEXT('Crank-Main'!T2*25.4, "0.0000"), " - ", TEXT('Crank-Main'!V2*25.4, "0.0000"), " mm")</f>
        <v>59.9694 - 59.9821 mm</v>
      </c>
      <c r="C13" s="83" t="str">
        <f>CONCATENATE(TEXT('Crank-Main'!T2, "0.00000"), " - ", TEXT('Crank-Main'!V2, "0.00000"), " inch")</f>
        <v>2.36100 - 2.36150 inch</v>
      </c>
    </row>
    <row r="14" spans="1:3" s="85" customFormat="1" ht="15" customHeight="1" x14ac:dyDescent="0.25">
      <c r="A14" s="78" t="s">
        <v>298</v>
      </c>
      <c r="B14" s="79" t="str">
        <f>CONCATENATE(TEXT('Crank-Main'!W2*25.4, "0.0000"), ", ", TEXT('Crank-Main'!X2*25.4, "+0.0000"), " mm")</f>
        <v>-0.0063, +0.0063 mm</v>
      </c>
      <c r="C14" s="80" t="str">
        <f>CONCATENATE(TEXT('Crank-Main'!W2, "0.00000"), ", ", TEXT('Crank-Main'!X2, "+0.00000"), " inch")</f>
        <v>-0.00025, +0.00025 inch</v>
      </c>
    </row>
    <row r="15" spans="1:3" s="86" customFormat="1" ht="15" customHeight="1" x14ac:dyDescent="0.25">
      <c r="A15" s="81" t="s">
        <v>28</v>
      </c>
      <c r="B15" s="82" t="str">
        <f>CONCATENATE(TEXT('Crank-Main'!U3*25.4,"0.0000")," mm")</f>
        <v>60.0164 mm</v>
      </c>
      <c r="C15" s="83" t="str">
        <f>CONCATENATE(TEXT('Crank-Main'!U3, "0.00000"), " inch")</f>
        <v>2.36285 inch</v>
      </c>
    </row>
    <row r="16" spans="1:3" s="85" customFormat="1" ht="15" customHeight="1" x14ac:dyDescent="0.25">
      <c r="A16" s="78" t="s">
        <v>29</v>
      </c>
      <c r="B16" s="79" t="str">
        <f>CONCATENATE(TEXT('Crank-Main'!T3*25.4, "0.0000"), " - ", TEXT('Crank-Main'!V3*25.4, "0.0000"), " mm")</f>
        <v>60.0126 - 60.0202 mm</v>
      </c>
      <c r="C16" s="80" t="str">
        <f>CONCATENATE(TEXT('Crank-Main'!T3, "0.00000"), " - ", TEXT('Crank-Main'!V3, "0.00000"), " inch")</f>
        <v>2.36270 - 2.36300 inch</v>
      </c>
    </row>
    <row r="17" spans="1:3" s="86" customFormat="1" ht="15" customHeight="1" x14ac:dyDescent="0.25">
      <c r="A17" s="81" t="s">
        <v>30</v>
      </c>
      <c r="B17" s="82" t="str">
        <f>CONCATENATE(TEXT('Crank-Main'!U4*25.4, "0.0000"), " mm")</f>
        <v>0.0406 mm</v>
      </c>
      <c r="C17" s="83" t="str">
        <f>CONCATENATE(TEXT('Crank-Main'!U4, "0.00000"), " inch")</f>
        <v>0.00160 inch</v>
      </c>
    </row>
    <row r="18" spans="1:3" s="85" customFormat="1" ht="15" customHeight="1" x14ac:dyDescent="0.25">
      <c r="A18" s="78" t="s">
        <v>31</v>
      </c>
      <c r="B18" s="79" t="str">
        <f>CONCATENATE(TEXT('Crank-Main'!T4*25.4, "0.0000"), " - ", TEXT('Crank-Main'!V4*25.4, "0.0000"), " mm")</f>
        <v>0.0305 - 0.0508 mm</v>
      </c>
      <c r="C18" s="80" t="str">
        <f>CONCATENATE(TEXT('Crank-Main'!T4, "0.00000"), " - ", TEXT('Crank-Main'!V4, "0.00000"), " inch")</f>
        <v>0.00120 - 0.00200 inch</v>
      </c>
    </row>
    <row r="19" spans="1:3" s="85" customFormat="1" ht="15" customHeight="1" x14ac:dyDescent="0.25">
      <c r="A19" s="78" t="s">
        <v>74</v>
      </c>
      <c r="B19" s="79" t="str">
        <f>CONCATENATE(TEXT('Crank-Main'!W4*25.4, "0.0000"), ", ", TEXT('Crank-Main'!X4*25.4, "+0.0000"), " mm")</f>
        <v>-0.0102, +0.0102 mm</v>
      </c>
      <c r="C19" s="80" t="str">
        <f>CONCATENATE(TEXT('Crank-Main'!W4, "0.00000"), ", ", TEXT('Crank-Main'!X4, "+0.00000"), " inch")</f>
        <v>-0.00040, +0.00040 inch</v>
      </c>
    </row>
    <row r="20" spans="1:3" s="9" customFormat="1" ht="15" customHeight="1" x14ac:dyDescent="0.25">
      <c r="A20" s="14"/>
      <c r="B20" s="15"/>
      <c r="C20" s="16"/>
    </row>
    <row r="21" spans="1:3" ht="15" customHeight="1" x14ac:dyDescent="0.25">
      <c r="A21" s="17" t="s">
        <v>32</v>
      </c>
      <c r="B21" s="18" t="s">
        <v>24</v>
      </c>
      <c r="C21" s="19" t="s">
        <v>25</v>
      </c>
    </row>
    <row r="22" spans="1:3" s="9" customFormat="1" ht="15" customHeight="1" x14ac:dyDescent="0.25">
      <c r="A22" s="6" t="s">
        <v>33</v>
      </c>
      <c r="B22" s="7" t="str">
        <f>CONCATENATE(TEXT('Rod Journals'!M25*25.4,"0.0000"), "mm")</f>
        <v>51.9811mm</v>
      </c>
      <c r="C22" s="8" t="str">
        <f>CONCATENATE(TEXT('Rod Journals'!M25, "0.00000"), " inch")</f>
        <v>2.04650 inch</v>
      </c>
    </row>
    <row r="23" spans="1:3" s="13" customFormat="1" ht="15" customHeight="1" x14ac:dyDescent="0.25">
      <c r="A23" s="10" t="s">
        <v>34</v>
      </c>
      <c r="B23" s="11" t="str">
        <f>CONCATENATE(TEXT('Rod Journals'!K25*25.4, "0.0000"), " - ", TEXT('Rod Journals'!L25*25.4, "0.0000"), " mm")</f>
        <v>51.9786 - 51.9887 mm</v>
      </c>
      <c r="C23" s="12" t="str">
        <f>CONCATENATE(TEXT('Rod Journals'!K25, "0.00000"), " - ", TEXT('Rod Journals'!L25, "0.00000"), " inch")</f>
        <v>2.04640 - 2.04680 inch</v>
      </c>
    </row>
    <row r="24" spans="1:3" s="9" customFormat="1" ht="15" customHeight="1" x14ac:dyDescent="0.25">
      <c r="A24" s="6" t="s">
        <v>35</v>
      </c>
      <c r="B24" s="20" t="str">
        <f>CONCATENATE(TEXT('Rod Journals'!N25*25.4,"0.0000"),", ",TEXT('Rod Journals'!O25*25.4,"+0.0000")," mm")</f>
        <v>-0.0025, +0.0076 mm</v>
      </c>
      <c r="C24" s="8" t="str">
        <f>CONCATENATE(TEXT('Rod Journals'!N25,"0.00000"),", ",TEXT('Rod Journals'!O25,"+0.00000")," inch")</f>
        <v>-0.00010, +0.00030 inch</v>
      </c>
    </row>
    <row r="25" spans="1:3" s="9" customFormat="1" ht="15" customHeight="1" x14ac:dyDescent="0.25">
      <c r="A25" s="6"/>
      <c r="B25" s="7"/>
      <c r="C25" s="8"/>
    </row>
    <row r="26" spans="1:3" ht="15" customHeight="1" x14ac:dyDescent="0.25">
      <c r="A26" s="17" t="s">
        <v>36</v>
      </c>
      <c r="B26" s="18" t="s">
        <v>24</v>
      </c>
      <c r="C26" s="19" t="s">
        <v>25</v>
      </c>
    </row>
    <row r="27" spans="1:3" s="9" customFormat="1" ht="15" customHeight="1" x14ac:dyDescent="0.25">
      <c r="A27" s="78" t="s">
        <v>37</v>
      </c>
      <c r="B27" s="79" t="str">
        <f>CONCATENATE(TEXT('OEM Rods'!K4*25.4, "0.0000"), " mm")</f>
        <v>20.9995 mm</v>
      </c>
      <c r="C27" s="80" t="str">
        <f>CONCATENATE(TEXT('OEM Rods'!K4, "0.00000"), " inch")</f>
        <v>0.82675 inch</v>
      </c>
    </row>
    <row r="28" spans="1:3" s="84" customFormat="1" ht="15" customHeight="1" x14ac:dyDescent="0.25">
      <c r="A28" s="81" t="s">
        <v>38</v>
      </c>
      <c r="B28" s="82" t="str">
        <f>CONCATENATE(TEXT('OEM Rods'!K5*25.4, "0.0000"), " mm")</f>
        <v>56.0121 mm</v>
      </c>
      <c r="C28" s="83" t="str">
        <f>CONCATENATE(TEXT('OEM Rods'!K5, "0.00000"), " inch")</f>
        <v>2.20520 inch</v>
      </c>
    </row>
    <row r="29" spans="1:3" s="9" customFormat="1" ht="15" customHeight="1" x14ac:dyDescent="0.25">
      <c r="A29" s="78" t="s">
        <v>39</v>
      </c>
      <c r="B29" s="80" t="str">
        <f>CONCATENATE(TEXT('OEM Rods'!I5*25.4, "0.0000"), " - ", TEXT('OEM Rods'!J5*25.4, "0.0000"), " mm")</f>
        <v>56.0121 - 56.0146 mm</v>
      </c>
      <c r="C29" s="80" t="str">
        <f>CONCATENATE(TEXT('OEM Rods'!I5, "0.00000"), " - ", TEXT('OEM Rods'!J5, "0.00000"), " inch")</f>
        <v>2.20520 - 2.20530 inch</v>
      </c>
    </row>
    <row r="30" spans="1:3" s="84" customFormat="1" ht="15" customHeight="1" x14ac:dyDescent="0.25">
      <c r="A30" s="81" t="s">
        <v>40</v>
      </c>
      <c r="B30" s="82" t="str">
        <f>CONCATENATE(TEXT('OEM Rods'!L5*25.4,"0.0000"),", ",TEXT('OEM Rods'!M5*25.4,"+0.0000")," mm")</f>
        <v>0.0000, +0.0025 mm</v>
      </c>
      <c r="C30" s="83" t="str">
        <f>CONCATENATE(TEXT('OEM Rods'!L5,"0.00000"),", ",TEXT('OEM Rods'!M5,"+0.00000")," inch")</f>
        <v>0.00000, +0.00010 inch</v>
      </c>
    </row>
    <row r="31" spans="1:3" s="9" customFormat="1" ht="15" customHeight="1" x14ac:dyDescent="0.25">
      <c r="A31" s="78" t="s">
        <v>41</v>
      </c>
      <c r="B31" s="79" t="str">
        <f>CONCATENATE(TEXT('OEM Rods'!K6*25.4, "0.0000"), " mm")</f>
        <v>18.4150 mm</v>
      </c>
      <c r="C31" s="80" t="str">
        <f>CONCATENATE(TEXT('OEM Rods'!K6, "0.00000"), " inch")</f>
        <v>0.72500 inch</v>
      </c>
    </row>
    <row r="32" spans="1:3" s="84" customFormat="1" ht="15" customHeight="1" x14ac:dyDescent="0.25">
      <c r="A32" s="81" t="s">
        <v>39</v>
      </c>
      <c r="B32" s="82" t="str">
        <f>CONCATENATE(TEXT('OEM Rods'!I6*25.4, "0.0000"), " - ", TEXT('OEM Rods'!J6*25.4, "0.0000"), " mm")</f>
        <v>18.4010 - 18.4201 mm</v>
      </c>
      <c r="C32" s="83" t="str">
        <f>CONCATENATE(TEXT('OEM Rods'!I6, "0.00000"), " - ", TEXT('OEM Rods'!J6, "0.00000"), " inch")</f>
        <v>0.72445 - 0.72520 inch</v>
      </c>
    </row>
    <row r="33" spans="1:3" s="9" customFormat="1" ht="15" customHeight="1" x14ac:dyDescent="0.25">
      <c r="A33" s="78" t="s">
        <v>40</v>
      </c>
      <c r="B33" s="79" t="str">
        <f>CONCATENATE(TEXT('OEM Rods'!L6*25.4,"0.0000"),", ",TEXT('OEM Rods'!M6*25.4,"+0.0000")," mm")</f>
        <v>-0.0140, +0.0051 mm</v>
      </c>
      <c r="C33" s="80" t="str">
        <f>CONCATENATE(TEXT('OEM Rods'!L6,"0.00000"),", ",TEXT('OEM Rods'!M6,"+0.00000")," inch")</f>
        <v>-0.00055, +0.00020 inch</v>
      </c>
    </row>
    <row r="34" spans="1:3" s="9" customFormat="1" ht="15" customHeight="1" x14ac:dyDescent="0.25">
      <c r="A34" s="6"/>
      <c r="B34" s="7"/>
      <c r="C34" s="8"/>
    </row>
    <row r="35" spans="1:3" ht="15" customHeight="1" x14ac:dyDescent="0.25">
      <c r="A35" s="17" t="s">
        <v>42</v>
      </c>
      <c r="B35" s="18" t="s">
        <v>24</v>
      </c>
      <c r="C35" s="19" t="s">
        <v>25</v>
      </c>
    </row>
    <row r="36" spans="1:3" s="9" customFormat="1" ht="15" customHeight="1" x14ac:dyDescent="0.25">
      <c r="A36" s="6" t="s">
        <v>43</v>
      </c>
      <c r="B36" s="7" t="str">
        <f>CONCATENATE(TEXT('Virgin 088_089'!M11*25.4, "0.0000"), " mm")</f>
        <v>2.0028 mm</v>
      </c>
      <c r="C36" s="8" t="str">
        <f>CONCATENATE(TEXT('Virgin 088_089'!M11, "0.00000"), " inch")</f>
        <v>0.07885 inch</v>
      </c>
    </row>
    <row r="37" spans="1:3" s="24" customFormat="1" ht="15" customHeight="1" x14ac:dyDescent="0.25">
      <c r="A37" s="21" t="s">
        <v>46</v>
      </c>
      <c r="B37" s="22" t="str">
        <f>CONCATENATE(TEXT('Virgin 088_089'!M12*25.4, "0.0000"), " mm")</f>
        <v>1.9977 mm</v>
      </c>
      <c r="C37" s="23" t="str">
        <f>CONCATENATE(TEXT('Virgin 088_089'!M12, "0.00000"), " inch")</f>
        <v>0.07865 inch</v>
      </c>
    </row>
    <row r="38" spans="1:3" s="9" customFormat="1" ht="15" customHeight="1" x14ac:dyDescent="0.25">
      <c r="A38" s="6" t="s">
        <v>49</v>
      </c>
      <c r="B38" s="7" t="str">
        <f>CONCATENATE(TEXT('Virgin 088_089'!K11*25.4, "0.0000"), " - ", TEXT('Virgin 088_089'!L11*25.4, "0.0000"), " mm")</f>
        <v>2.0015 - 2.0041 mm</v>
      </c>
      <c r="C38" s="8" t="str">
        <f>CONCATENATE(TEXT('Virgin 088_089'!K11, "0.00000"), " - ", TEXT('Virgin 088_089'!L11, "0.00000"), " inch")</f>
        <v>0.07880 - 0.07890 inch</v>
      </c>
    </row>
    <row r="39" spans="1:3" s="24" customFormat="1" ht="15" customHeight="1" x14ac:dyDescent="0.25">
      <c r="A39" s="21" t="s">
        <v>52</v>
      </c>
      <c r="B39" s="22" t="str">
        <f>CONCATENATE(TEXT('Virgin 088_089'!K12*25.4, "0.0000"), " - ", TEXT('Virgin 088_089'!L12*25.4, "0.0000"), " mm")</f>
        <v>1.9964 - 2.0015 mm</v>
      </c>
      <c r="C39" s="23" t="str">
        <f>CONCATENATE(TEXT('Virgin 088_089'!K12, "0.00000"), " - ", TEXT('Virgin 088_089'!L12, "0.00000"), " inch")</f>
        <v>0.07860 - 0.07880 inch</v>
      </c>
    </row>
    <row r="40" spans="1:3" ht="15" customHeight="1" x14ac:dyDescent="0.25">
      <c r="A40" s="25" t="s">
        <v>55</v>
      </c>
      <c r="B40" s="26" t="str">
        <f>CONCATENATE(TEXT('Virgin 088_089'!N11*25.4, "0.0000"), " - ", TEXT('Virgin 088_089'!O11*25.4, "0.0000"), " mm")</f>
        <v>-0.0013 - 0.0013 mm</v>
      </c>
      <c r="C40" s="26" t="str">
        <f>CONCATENATE(TEXT('Virgin 088_089'!N11, "0.00000"), " - ", TEXT('Virgin 088_089'!O11, "+0.00000"), " inch")</f>
        <v>-0.00005 - +0.00005 inch</v>
      </c>
    </row>
    <row r="41" spans="1:3" s="24" customFormat="1" ht="15" customHeight="1" x14ac:dyDescent="0.25">
      <c r="A41" s="27" t="s">
        <v>58</v>
      </c>
      <c r="B41" s="28" t="str">
        <f>CONCATENATE(TEXT('Virgin 088_089'!N12*25.4, "0.0000"), " - ", TEXT('Virgin 088_089'!O12*25.4, "0.0000"), " mm")</f>
        <v>-0.0013 - 0.0038 mm</v>
      </c>
      <c r="C41" s="28" t="str">
        <f>CONCATENATE(TEXT('Virgin 088_089'!N12, "0.00000"), " - ", TEXT('Virgin 088_089'!O12, "+0.00000"), " inch")</f>
        <v>-0.00005 - +0.00015 inch</v>
      </c>
    </row>
    <row r="42" spans="1:3" s="9" customFormat="1" ht="15" customHeight="1" x14ac:dyDescent="0.25">
      <c r="A42" s="6"/>
      <c r="B42" s="7"/>
      <c r="C42" s="8"/>
    </row>
    <row r="43" spans="1:3" ht="15" customHeight="1" x14ac:dyDescent="0.25">
      <c r="A43" s="17" t="s">
        <v>61</v>
      </c>
      <c r="B43" s="18" t="s">
        <v>24</v>
      </c>
      <c r="C43" s="19" t="s">
        <v>25</v>
      </c>
    </row>
    <row r="44" spans="1:3" s="9" customFormat="1" ht="15" customHeight="1" x14ac:dyDescent="0.25">
      <c r="A44" s="29" t="s">
        <v>62</v>
      </c>
      <c r="B44" s="7" t="str">
        <f>CONCATENATE(TEXT('Virgin 088_089'!M7*25.4, "0.0000"), " mm")</f>
        <v>52.0179 mm</v>
      </c>
      <c r="C44" s="8" t="str">
        <f>CONCATENATE(TEXT('Virgin 088_089'!M7, "0.00000"), " inch")</f>
        <v>2.04795 inch</v>
      </c>
    </row>
    <row r="45" spans="1:3" s="13" customFormat="1" ht="15" customHeight="1" x14ac:dyDescent="0.25">
      <c r="A45" s="10" t="s">
        <v>65</v>
      </c>
      <c r="B45" s="11" t="str">
        <f>CONCATENATE(TEXT('Virgin 088_089'!K7*25.4, "0.0000"), " - ", TEXT('Virgin 088_089'!L7*25.4, "0.0000"), " mm")</f>
        <v>52.0154 - 52.0192 mm</v>
      </c>
      <c r="C45" s="12" t="str">
        <f>CONCATENATE(TEXT('Virgin 088_089'!K7, "0.00000"), " - ", TEXT('Virgin 088_089'!L7, "0.00000"), " inch")</f>
        <v>2.04785 - 2.04800 inch</v>
      </c>
    </row>
    <row r="46" spans="1:3" s="9" customFormat="1" ht="15" customHeight="1" x14ac:dyDescent="0.25">
      <c r="A46" s="6" t="s">
        <v>68</v>
      </c>
      <c r="B46" s="7" t="str">
        <f>CONCATENATE(TEXT('Virgin 088_089'!M13*25.4, "0.0000"), " mm")</f>
        <v>0.0368 mm</v>
      </c>
      <c r="C46" s="8" t="str">
        <f>CONCATENATE(TEXT('Virgin 088_089'!M13, "0.00000"), " inch")</f>
        <v>0.00145 inch</v>
      </c>
    </row>
    <row r="47" spans="1:3" s="13" customFormat="1" ht="15" customHeight="1" x14ac:dyDescent="0.25">
      <c r="A47" s="10" t="s">
        <v>71</v>
      </c>
      <c r="B47" s="11" t="str">
        <f>CONCATENATE(TEXT('Virgin 088_089'!K13*25.4, "0.0000"), " - ", TEXT('Virgin 088_089'!L13*25.4, "0.0000"), " mm")</f>
        <v>0.0343 - 0.0381 mm</v>
      </c>
      <c r="C47" s="12" t="str">
        <f>CONCATENATE(TEXT('Virgin 088_089'!K13, "0.00000"), " - ", TEXT('Virgin 088_089'!L13, "0.00000"), " inch")</f>
        <v>0.00135 - 0.00150 inch</v>
      </c>
    </row>
    <row r="48" spans="1:3" s="9" customFormat="1" ht="15" customHeight="1" x14ac:dyDescent="0.25">
      <c r="A48" s="29" t="s">
        <v>74</v>
      </c>
      <c r="B48" s="30" t="str">
        <f>CONCATENATE(TEXT('Virgin 088_089'!N13*25.4, "0.0000"), " - ", TEXT('Virgin 088_089'!O13*25.4, "+0.0000"), " mm")</f>
        <v>-0.0025 - +0.0013 mm</v>
      </c>
      <c r="C48" s="30" t="str">
        <f>CONCATENATE(TEXT('Virgin 088_089'!N13, "0.00000"), " - ", TEXT('Virgin 088_089'!O13, "+0.00000"), " inch")</f>
        <v>-0.00010 - +0.00005 inch</v>
      </c>
    </row>
    <row r="49" spans="1:3" s="13" customFormat="1" ht="15" customHeight="1" x14ac:dyDescent="0.25">
      <c r="A49" s="10" t="s">
        <v>77</v>
      </c>
      <c r="B49" s="11"/>
      <c r="C49" s="12" t="str">
        <f>CONCATENATE(TEXT('Virgin 088_089'!M13 / 'Virgin 088_089'!M7, "0.00000"), " inch/inch")</f>
        <v>0.00071 inch/inch</v>
      </c>
    </row>
    <row r="50" spans="1:3" s="9" customFormat="1" ht="15" customHeight="1" x14ac:dyDescent="0.25">
      <c r="A50" s="6" t="s">
        <v>79</v>
      </c>
      <c r="B50" s="7"/>
      <c r="C50" s="8" t="str">
        <f>CONCATENATE(TEXT('Virgin 088_089'!K13 / 'Virgin 088_089'!K7, "0.00000"), " - ", TEXT('Virgin 088_089'!L13 / 'Virgin 088_089'!K7, "0.00000"), " inch/inch")</f>
        <v>0.00066 - 0.00073 inch/inch</v>
      </c>
    </row>
    <row r="51" spans="1:3" s="13" customFormat="1" ht="15" customHeight="1" x14ac:dyDescent="0.25">
      <c r="A51" s="31" t="s">
        <v>81</v>
      </c>
      <c r="B51" s="32" t="str">
        <f>CONCATENATE(TEXT('Virgin 088_089'!AA11*25.4, "0.0000"), " mm")</f>
        <v>0.0216 mm</v>
      </c>
      <c r="C51" s="32" t="str">
        <f>CONCATENATE(TEXT('Virgin 088_089'!AA11, "0.00000"), " inch")</f>
        <v>0.00085 inch</v>
      </c>
    </row>
    <row r="52" spans="1:3" ht="15" customHeight="1" x14ac:dyDescent="0.25">
      <c r="A52" s="29" t="s">
        <v>84</v>
      </c>
      <c r="B52" s="30" t="str">
        <f>CONCATENATE(TEXT('Virgin 088_089'!Y11*25.4, "0.0000"), " - ", TEXT('Virgin 088_089'!Z11*25.4, "0.0000"), " mm")</f>
        <v>0.0178 - 0.0229 mm</v>
      </c>
      <c r="C52" s="30" t="str">
        <f>CONCATENATE(TEXT('Virgin 088_089'!Y11, "0.00000"), " - ", TEXT('Virgin 088_089'!Z11, "0.00000"), " inch")</f>
        <v>0.00070 - 0.00090 inch</v>
      </c>
    </row>
    <row r="53" spans="1:3" s="13" customFormat="1" ht="15" customHeight="1" x14ac:dyDescent="0.25">
      <c r="A53" s="31" t="s">
        <v>87</v>
      </c>
      <c r="B53" s="32" t="str">
        <f>CONCATENATE(TEXT('Virgin 088_089'!AB11*25.4, "0.0000"), " - ", TEXT('Virgin 088_089'!AC11*25.4, "+0.0000"), " mm")</f>
        <v>-0.0038 - +0.0013 mm</v>
      </c>
      <c r="C53" s="32" t="str">
        <f>CONCATENATE(TEXT('Virgin 088_089'!AB11, "0.00000"), " - ", TEXT('Virgin 088_089'!AC11, "+0.00000"), " inch")</f>
        <v>-0.00015 - +0.00005 inch</v>
      </c>
    </row>
    <row r="54" spans="1:3" s="9" customFormat="1" ht="15" customHeight="1" x14ac:dyDescent="0.25">
      <c r="A54" s="6"/>
      <c r="B54" s="7"/>
      <c r="C54" s="8"/>
    </row>
    <row r="55" spans="1:3" ht="15" customHeight="1" x14ac:dyDescent="0.25">
      <c r="A55" s="17" t="s">
        <v>90</v>
      </c>
      <c r="B55" s="18" t="s">
        <v>24</v>
      </c>
      <c r="C55" s="19" t="s">
        <v>25</v>
      </c>
    </row>
    <row r="56" spans="1:3" s="33" customFormat="1" ht="12.75" customHeight="1" x14ac:dyDescent="0.2">
      <c r="A56" s="6" t="s">
        <v>43</v>
      </c>
      <c r="B56" s="7" t="str">
        <f>CONCATENATE(TEXT('Virgin 702_703'!M11*25.4, "0.0000"), " mm")</f>
        <v>1.9977 mm</v>
      </c>
      <c r="C56" s="8" t="str">
        <f>CONCATENATE(TEXT('Virgin 702_703'!M11, "0.00000"), " inch")</f>
        <v>0.07865 inch</v>
      </c>
    </row>
    <row r="57" spans="1:3" s="34" customFormat="1" ht="12.75" customHeight="1" x14ac:dyDescent="0.2">
      <c r="A57" s="21" t="s">
        <v>46</v>
      </c>
      <c r="B57" s="22" t="str">
        <f>CONCATENATE(TEXT('Virgin 702_703'!M12*25.4, "0.0000"), " mm")</f>
        <v>1.9939 mm</v>
      </c>
      <c r="C57" s="23" t="str">
        <f>CONCATENATE(TEXT('Virgin 702_703'!M12, "0.00000"), " inch")</f>
        <v>0.07850 inch</v>
      </c>
    </row>
    <row r="58" spans="1:3" s="33" customFormat="1" ht="12.75" customHeight="1" x14ac:dyDescent="0.2">
      <c r="A58" s="6" t="s">
        <v>49</v>
      </c>
      <c r="B58" s="7" t="str">
        <f>CONCATENATE(TEXT('Virgin 702_703'!K11*25.4, "0.0000"), " - ", TEXT('Virgin 702_703'!L11*25.4, "0.0000"), " mm")</f>
        <v>1.9977 - 1.9990 mm</v>
      </c>
      <c r="C58" s="8" t="str">
        <f>CONCATENATE(TEXT('Virgin 702_703'!K11, "0.00000"), " - ", TEXT('Virgin 702_703'!L11, "0.00000"), " inch")</f>
        <v>0.07865 - 0.07870 inch</v>
      </c>
    </row>
    <row r="59" spans="1:3" s="34" customFormat="1" ht="12.75" customHeight="1" x14ac:dyDescent="0.2">
      <c r="A59" s="21" t="s">
        <v>52</v>
      </c>
      <c r="B59" s="22" t="str">
        <f>CONCATENATE(TEXT('Virgin 702_703'!K12*25.4, "0.0000"), " - ", TEXT('Virgin 702_703'!L12*25.4, "0.0000"), " mm")</f>
        <v>1.9939 - 1.9952 mm</v>
      </c>
      <c r="C59" s="23" t="str">
        <f>CONCATENATE(TEXT('Virgin 702_703'!K12, "0.00000"), " - ", TEXT('Virgin 702_703'!L12, "0.00000"), " inch")</f>
        <v>0.07850 - 0.07855 inch</v>
      </c>
    </row>
    <row r="60" spans="1:3" s="35" customFormat="1" ht="12.75" customHeight="1" x14ac:dyDescent="0.2">
      <c r="A60" s="25" t="s">
        <v>55</v>
      </c>
      <c r="B60" s="26" t="str">
        <f>CONCATENATE(TEXT('Virgin 702_703'!N11*25.4, "0.0000"), " - ", TEXT('Virgin 702_703'!O11*25.4, "0.0000"), " mm")</f>
        <v>0.0000 - 0.0013 mm</v>
      </c>
      <c r="C60" s="26" t="str">
        <f>CONCATENATE(TEXT('Virgin 702_703'!N11, "0.00000"), " - ", TEXT('Virgin 702_703'!O11, "+0.00000"), " inch")</f>
        <v>0.00000 - +0.00005 inch</v>
      </c>
    </row>
    <row r="61" spans="1:3" s="34" customFormat="1" ht="12.75" customHeight="1" x14ac:dyDescent="0.2">
      <c r="A61" s="27" t="s">
        <v>58</v>
      </c>
      <c r="B61" s="28" t="str">
        <f>CONCATENATE(TEXT('Virgin 702_703'!N12*25.4, "0.0000"), " - ", TEXT('Virgin 702_703'!O12*25.4, "0.0000"), " mm")</f>
        <v>0.0000 - 0.0013 mm</v>
      </c>
      <c r="C61" s="28" t="str">
        <f>CONCATENATE(TEXT('Virgin 702_703'!N12, "0.00000"), " - ", TEXT('Virgin 702_703'!O12, "+0.00000"), " inch")</f>
        <v>0.00000 - +0.00005 inch</v>
      </c>
    </row>
    <row r="62" spans="1:3" s="9" customFormat="1" ht="15" customHeight="1" x14ac:dyDescent="0.25">
      <c r="A62" s="6"/>
      <c r="B62" s="7"/>
      <c r="C62" s="8"/>
    </row>
    <row r="63" spans="1:3" ht="15" customHeight="1" x14ac:dyDescent="0.25">
      <c r="A63" s="17" t="s">
        <v>99</v>
      </c>
      <c r="B63" s="18" t="s">
        <v>24</v>
      </c>
      <c r="C63" s="19" t="s">
        <v>25</v>
      </c>
    </row>
    <row r="64" spans="1:3" s="9" customFormat="1" ht="15" customHeight="1" x14ac:dyDescent="0.25">
      <c r="A64" s="29" t="s">
        <v>62</v>
      </c>
      <c r="B64" s="7" t="s">
        <v>100</v>
      </c>
      <c r="C64" s="8" t="str">
        <f>CONCATENATE(TEXT('Virgin 702_703'!M7, "0.00000"), " inch")</f>
        <v>2.04820 inch</v>
      </c>
    </row>
    <row r="65" spans="1:3" s="13" customFormat="1" ht="15" customHeight="1" x14ac:dyDescent="0.25">
      <c r="A65" s="10" t="s">
        <v>102</v>
      </c>
      <c r="B65" s="11" t="s">
        <v>103</v>
      </c>
      <c r="C65" s="12" t="str">
        <f>CONCATENATE(TEXT('Virgin 702_703'!K7, "0.00000"), " - ", TEXT('Virgin 702_703'!L7, "0.00000"), " inch")</f>
        <v>2.04815 - 2.04840 inch</v>
      </c>
    </row>
    <row r="66" spans="1:3" s="9" customFormat="1" ht="15" customHeight="1" x14ac:dyDescent="0.25">
      <c r="A66" s="6" t="s">
        <v>68</v>
      </c>
      <c r="B66" s="7" t="s">
        <v>105</v>
      </c>
      <c r="C66" s="8" t="str">
        <f>CONCATENATE(TEXT('Virgin 702_703'!M7 - 'Rod Journals'!M2, "0.00000"), " inch")</f>
        <v>0.00170 inch</v>
      </c>
    </row>
    <row r="67" spans="1:3" s="13" customFormat="1" ht="15" customHeight="1" x14ac:dyDescent="0.25">
      <c r="A67" s="10" t="s">
        <v>31</v>
      </c>
      <c r="B67" s="11" t="s">
        <v>107</v>
      </c>
      <c r="C67" s="12" t="str">
        <f>CONCATENATE(TEXT('Virgin 702_703'!K7 - 'Rod Journals'!L2, "0.00000"), " - ", TEXT('Virgin 702_703'!L7 - 'Rod Journals'!K2, "0.00000"))</f>
        <v>0.00135 - 0.00200</v>
      </c>
    </row>
    <row r="68" spans="1:3" s="9" customFormat="1" ht="15" customHeight="1" x14ac:dyDescent="0.25">
      <c r="A68" s="29" t="s">
        <v>74</v>
      </c>
      <c r="B68" s="30" t="s">
        <v>109</v>
      </c>
      <c r="C68" s="30" t="str">
        <f>CONCATENATE(TEXT('Virgin 702_703'!N13, "0.00000"), " - ", TEXT('Virgin 702_703'!O13, "+0.00000"), " inch")</f>
        <v>-0.00035 - +0.00030 inch</v>
      </c>
    </row>
    <row r="69" spans="1:3" s="13" customFormat="1" ht="15" customHeight="1" x14ac:dyDescent="0.25">
      <c r="A69" s="10" t="s">
        <v>77</v>
      </c>
      <c r="B69" s="11"/>
      <c r="C69" s="12" t="str">
        <f>CONCATENATE(TEXT('Virgin 702_703'!M13 / 'Virgin 702_703'!M7, "0.00000"), " inch/inch")</f>
        <v>0.00083 inch/inch</v>
      </c>
    </row>
    <row r="70" spans="1:3" s="9" customFormat="1" ht="15" customHeight="1" x14ac:dyDescent="0.25">
      <c r="A70" s="6" t="s">
        <v>112</v>
      </c>
      <c r="B70" s="7"/>
      <c r="C70" s="8" t="str">
        <f>CONCATENATE(TEXT('Virgin 702_703'!K13 / 'Virgin 702_703'!K7, "0.00000"), " - ", TEXT('Virgin 702_703'!L13 / 'Virgin 702_703'!K7, "0.00000"), " inch/inch")</f>
        <v>0.00081 - 0.00093 inch/inch</v>
      </c>
    </row>
    <row r="71" spans="1:3" s="13" customFormat="1" ht="15" customHeight="1" x14ac:dyDescent="0.25">
      <c r="A71" s="31" t="s">
        <v>81</v>
      </c>
      <c r="B71" s="32" t="str">
        <f>CONCATENATE(TEXT('Virgin 702_703'!AA11*25.4, "0.0000"), " mm")</f>
        <v>0.0508 mm</v>
      </c>
      <c r="C71" s="32" t="str">
        <f>CONCATENATE(TEXT('Virgin 702_703'!AA11, "0.00000"), " inch")</f>
        <v>0.00200 inch</v>
      </c>
    </row>
    <row r="72" spans="1:3" ht="15" customHeight="1" x14ac:dyDescent="0.25">
      <c r="A72" s="29" t="s">
        <v>84</v>
      </c>
      <c r="B72" s="30" t="str">
        <f>CONCATENATE(TEXT('Virgin 702_703'!Y11*25.4, "0.0000"), " - ", TEXT('Virgin 702_703'!Z11*25.4, "0.0000"), " mm")</f>
        <v>0.0444 - 0.0584 mm</v>
      </c>
      <c r="C72" s="30" t="str">
        <f>CONCATENATE(TEXT('Virgin 702_703'!Y11, "0.00000"), " - ", TEXT('Virgin 702_703'!Z11, "0.00000"), " inch")</f>
        <v>0.00175 - 0.00230 inch</v>
      </c>
    </row>
    <row r="73" spans="1:3" s="13" customFormat="1" ht="15" customHeight="1" x14ac:dyDescent="0.25">
      <c r="A73" s="31" t="s">
        <v>87</v>
      </c>
      <c r="B73" s="32" t="str">
        <f>CONCATENATE(TEXT('Virgin 702_703'!AB11*25.4, "0.0000"), " - ", TEXT('Virgin 702_703'!AC11*25.4, "+0.0000"), " mm")</f>
        <v>-0.0063 - +0.0076 mm</v>
      </c>
      <c r="C73" s="32" t="str">
        <f>CONCATENATE(TEXT('Virgin 702_703'!AB11, "0.00000"), " - ", TEXT('Virgin 702_703'!AC11, "+0.00000"), " inch")</f>
        <v>-0.00025 - +0.00030 inch</v>
      </c>
    </row>
    <row r="74" spans="1:3" s="9" customFormat="1" ht="15" customHeight="1" x14ac:dyDescent="0.25">
      <c r="A74" s="6"/>
      <c r="B74" s="7"/>
      <c r="C74" s="8"/>
    </row>
    <row r="75" spans="1:3" ht="15" customHeight="1" x14ac:dyDescent="0.25">
      <c r="A75" s="36" t="s">
        <v>120</v>
      </c>
      <c r="B75" s="37"/>
      <c r="C75" s="38"/>
    </row>
    <row r="76" spans="1:3" ht="15" customHeight="1" x14ac:dyDescent="0.25">
      <c r="A76" s="17" t="s">
        <v>121</v>
      </c>
      <c r="B76" s="18" t="s">
        <v>24</v>
      </c>
      <c r="C76" s="19" t="s">
        <v>25</v>
      </c>
    </row>
    <row r="77" spans="1:3" s="9" customFormat="1" ht="15" customHeight="1" x14ac:dyDescent="0.25">
      <c r="A77" s="6" t="s">
        <v>33</v>
      </c>
      <c r="B77" s="7" t="s">
        <v>122</v>
      </c>
      <c r="C77" s="8" t="s">
        <v>123</v>
      </c>
    </row>
    <row r="78" spans="1:3" s="13" customFormat="1" ht="15" customHeight="1" x14ac:dyDescent="0.25">
      <c r="A78" s="10" t="s">
        <v>34</v>
      </c>
      <c r="B78" s="11" t="s">
        <v>124</v>
      </c>
      <c r="C78" s="12" t="s">
        <v>125</v>
      </c>
    </row>
    <row r="79" spans="1:3" s="9" customFormat="1" ht="15" customHeight="1" x14ac:dyDescent="0.25">
      <c r="A79" s="6" t="s">
        <v>62</v>
      </c>
      <c r="B79" s="7" t="s">
        <v>126</v>
      </c>
      <c r="C79" s="8" t="s">
        <v>127</v>
      </c>
    </row>
    <row r="80" spans="1:3" s="13" customFormat="1" ht="15" customHeight="1" x14ac:dyDescent="0.25">
      <c r="A80" s="10" t="s">
        <v>102</v>
      </c>
      <c r="B80" s="11" t="s">
        <v>128</v>
      </c>
      <c r="C80" s="12" t="s">
        <v>129</v>
      </c>
    </row>
    <row r="81" spans="1:3" s="9" customFormat="1" ht="15" customHeight="1" x14ac:dyDescent="0.25">
      <c r="A81" s="6" t="s">
        <v>68</v>
      </c>
      <c r="B81" s="7" t="s">
        <v>130</v>
      </c>
      <c r="C81" s="8" t="s">
        <v>131</v>
      </c>
    </row>
    <row r="82" spans="1:3" s="13" customFormat="1" ht="15" customHeight="1" x14ac:dyDescent="0.25">
      <c r="A82" s="10" t="s">
        <v>31</v>
      </c>
      <c r="B82" s="11" t="s">
        <v>132</v>
      </c>
      <c r="C82" s="12" t="s">
        <v>133</v>
      </c>
    </row>
    <row r="83" spans="1:3" s="9" customFormat="1" ht="15" customHeight="1" x14ac:dyDescent="0.25">
      <c r="A83" s="6" t="s">
        <v>43</v>
      </c>
      <c r="B83" s="7" t="s">
        <v>134</v>
      </c>
      <c r="C83" s="8" t="s">
        <v>135</v>
      </c>
    </row>
    <row r="84" spans="1:3" s="13" customFormat="1" ht="15" customHeight="1" x14ac:dyDescent="0.25">
      <c r="A84" s="10" t="s">
        <v>46</v>
      </c>
      <c r="B84" s="11" t="s">
        <v>136</v>
      </c>
      <c r="C84" s="12" t="s">
        <v>137</v>
      </c>
    </row>
    <row r="85" spans="1:3" ht="15" customHeight="1" x14ac:dyDescent="0.25">
      <c r="A85" s="14"/>
      <c r="B85" s="15"/>
      <c r="C85" s="16"/>
    </row>
    <row r="86" spans="1:3" ht="15" customHeight="1" x14ac:dyDescent="0.25">
      <c r="A86" s="17" t="s">
        <v>138</v>
      </c>
      <c r="B86" s="18" t="s">
        <v>24</v>
      </c>
      <c r="C86" s="19" t="s">
        <v>25</v>
      </c>
    </row>
    <row r="87" spans="1:3" s="9" customFormat="1" ht="15" customHeight="1" x14ac:dyDescent="0.25">
      <c r="A87" s="6" t="s">
        <v>33</v>
      </c>
      <c r="B87" s="7" t="s">
        <v>122</v>
      </c>
      <c r="C87" s="8" t="s">
        <v>123</v>
      </c>
    </row>
    <row r="88" spans="1:3" s="13" customFormat="1" ht="15" customHeight="1" x14ac:dyDescent="0.25">
      <c r="A88" s="10" t="s">
        <v>34</v>
      </c>
      <c r="B88" s="11" t="s">
        <v>124</v>
      </c>
      <c r="C88" s="12" t="s">
        <v>125</v>
      </c>
    </row>
    <row r="89" spans="1:3" s="9" customFormat="1" ht="15" customHeight="1" x14ac:dyDescent="0.25">
      <c r="A89" s="6" t="s">
        <v>62</v>
      </c>
      <c r="B89" s="7" t="s">
        <v>126</v>
      </c>
      <c r="C89" s="8" t="s">
        <v>139</v>
      </c>
    </row>
    <row r="90" spans="1:3" s="13" customFormat="1" ht="15" customHeight="1" x14ac:dyDescent="0.25">
      <c r="A90" s="10" t="s">
        <v>102</v>
      </c>
      <c r="B90" s="11" t="s">
        <v>140</v>
      </c>
      <c r="C90" s="12" t="s">
        <v>141</v>
      </c>
    </row>
    <row r="91" spans="1:3" s="9" customFormat="1" ht="15" customHeight="1" x14ac:dyDescent="0.25">
      <c r="A91" s="6" t="s">
        <v>68</v>
      </c>
      <c r="B91" s="7" t="s">
        <v>142</v>
      </c>
      <c r="C91" s="8" t="s">
        <v>143</v>
      </c>
    </row>
    <row r="92" spans="1:3" s="13" customFormat="1" ht="15" customHeight="1" x14ac:dyDescent="0.25">
      <c r="A92" s="10" t="s">
        <v>31</v>
      </c>
      <c r="B92" s="11" t="s">
        <v>144</v>
      </c>
      <c r="C92" s="12" t="s">
        <v>145</v>
      </c>
    </row>
    <row r="93" spans="1:3" s="9" customFormat="1" ht="15" customHeight="1" x14ac:dyDescent="0.25">
      <c r="A93" s="6" t="s">
        <v>43</v>
      </c>
      <c r="B93" s="7" t="s">
        <v>146</v>
      </c>
      <c r="C93" s="8" t="s">
        <v>147</v>
      </c>
    </row>
    <row r="94" spans="1:3" s="13" customFormat="1" ht="15.75" customHeight="1" x14ac:dyDescent="0.25">
      <c r="A94" s="39" t="s">
        <v>46</v>
      </c>
      <c r="B94" s="40" t="s">
        <v>148</v>
      </c>
      <c r="C94" s="41" t="s">
        <v>149</v>
      </c>
    </row>
    <row r="96" spans="1:3" ht="15" customHeight="1" x14ac:dyDescent="0.25">
      <c r="A96" s="1" t="s">
        <v>150</v>
      </c>
    </row>
    <row r="97" spans="1:1" ht="15" customHeight="1" x14ac:dyDescent="0.25">
      <c r="A97" s="1" t="s">
        <v>151</v>
      </c>
    </row>
    <row r="98" spans="1:1" ht="15" customHeight="1" x14ac:dyDescent="0.25">
      <c r="A98" s="1" t="s">
        <v>152</v>
      </c>
    </row>
    <row r="99" spans="1:1" ht="15" customHeight="1" x14ac:dyDescent="0.25">
      <c r="A99" s="1" t="s">
        <v>153</v>
      </c>
    </row>
    <row r="65538" ht="15" customHeight="1" x14ac:dyDescent="0.25"/>
  </sheetData>
  <pageMargins left="0.7" right="0.7" top="0.75" bottom="0.75" header="0.51180555555555496" footer="0.51180555555555496"/>
  <pageSetup firstPageNumber="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MK39"/>
  <sheetViews>
    <sheetView zoomScaleNormal="100" workbookViewId="0">
      <selection activeCell="A8" sqref="A8:H11"/>
    </sheetView>
  </sheetViews>
  <sheetFormatPr defaultRowHeight="15" x14ac:dyDescent="0.25"/>
  <cols>
    <col min="1" max="1" width="15.5703125" style="42"/>
    <col min="2" max="2" width="35.85546875" style="42"/>
    <col min="3" max="4" width="8.42578125" style="42"/>
    <col min="5" max="5" width="23.5703125" style="42"/>
    <col min="6" max="6" width="15.85546875" style="43"/>
    <col min="7" max="7" width="15" style="43"/>
    <col min="8" max="8" width="14.28515625" style="42"/>
    <col min="9" max="9" width="15" style="44" bestFit="1" customWidth="1"/>
    <col min="10" max="1025" width="9.140625" style="44"/>
  </cols>
  <sheetData>
    <row r="1" spans="1:9" s="47" customFormat="1" ht="18" customHeight="1" x14ac:dyDescent="0.25">
      <c r="A1" s="45"/>
      <c r="B1" s="45" t="s">
        <v>154</v>
      </c>
      <c r="C1" s="45"/>
      <c r="D1" s="45"/>
      <c r="E1" s="45"/>
      <c r="F1" s="46"/>
      <c r="G1" s="46"/>
      <c r="H1" s="45"/>
    </row>
    <row r="2" spans="1:9" ht="12.75" customHeight="1" x14ac:dyDescent="0.25">
      <c r="A2" s="48" t="s">
        <v>155</v>
      </c>
      <c r="B2" s="48" t="s">
        <v>156</v>
      </c>
      <c r="C2" s="48" t="s">
        <v>157</v>
      </c>
      <c r="D2" s="48" t="s">
        <v>158</v>
      </c>
      <c r="E2" s="48" t="s">
        <v>159</v>
      </c>
      <c r="F2" s="49" t="s">
        <v>160</v>
      </c>
      <c r="G2" s="49" t="s">
        <v>161</v>
      </c>
      <c r="H2" s="48" t="s">
        <v>162</v>
      </c>
    </row>
    <row r="3" spans="1:9" s="52" customFormat="1" ht="12.75" customHeight="1" x14ac:dyDescent="0.2">
      <c r="A3" s="50" t="s">
        <v>163</v>
      </c>
      <c r="B3" s="50" t="s">
        <v>164</v>
      </c>
      <c r="C3" s="50" t="s">
        <v>165</v>
      </c>
      <c r="D3" s="50" t="s">
        <v>166</v>
      </c>
      <c r="E3" s="50" t="s">
        <v>167</v>
      </c>
      <c r="F3" s="51">
        <v>38078</v>
      </c>
      <c r="G3" s="51">
        <v>39356</v>
      </c>
      <c r="H3" s="50" t="s">
        <v>168</v>
      </c>
    </row>
    <row r="4" spans="1:9" s="55" customFormat="1" ht="12.75" customHeight="1" x14ac:dyDescent="0.2">
      <c r="A4" s="53" t="s">
        <v>168</v>
      </c>
      <c r="B4" s="53" t="s">
        <v>164</v>
      </c>
      <c r="C4" s="53" t="s">
        <v>165</v>
      </c>
      <c r="D4" s="53" t="s">
        <v>166</v>
      </c>
      <c r="E4" s="53" t="s">
        <v>167</v>
      </c>
      <c r="F4" s="54">
        <v>38231</v>
      </c>
      <c r="G4" s="54">
        <v>39814</v>
      </c>
      <c r="H4" s="53" t="s">
        <v>169</v>
      </c>
    </row>
    <row r="5" spans="1:9" s="52" customFormat="1" ht="12.75" customHeight="1" x14ac:dyDescent="0.2">
      <c r="A5" s="50" t="s">
        <v>169</v>
      </c>
      <c r="B5" s="50" t="s">
        <v>164</v>
      </c>
      <c r="C5" s="50" t="s">
        <v>170</v>
      </c>
      <c r="D5" s="50" t="s">
        <v>171</v>
      </c>
      <c r="E5" s="50" t="s">
        <v>167</v>
      </c>
      <c r="F5" s="51">
        <v>39539</v>
      </c>
      <c r="G5" s="51">
        <v>39814</v>
      </c>
      <c r="H5" s="50" t="s">
        <v>172</v>
      </c>
    </row>
    <row r="6" spans="1:9" s="55" customFormat="1" ht="12.75" customHeight="1" x14ac:dyDescent="0.2">
      <c r="A6" s="53" t="s">
        <v>172</v>
      </c>
      <c r="B6" s="53" t="s">
        <v>164</v>
      </c>
      <c r="C6" s="53" t="s">
        <v>173</v>
      </c>
      <c r="D6" s="53" t="s">
        <v>174</v>
      </c>
      <c r="E6" s="53" t="s">
        <v>167</v>
      </c>
      <c r="F6" s="54">
        <v>39814</v>
      </c>
      <c r="G6" s="54" t="s">
        <v>175</v>
      </c>
      <c r="H6" s="53"/>
    </row>
    <row r="8" spans="1:9" ht="12.75" customHeight="1" x14ac:dyDescent="0.25">
      <c r="A8" s="48" t="s">
        <v>155</v>
      </c>
      <c r="B8" s="48" t="s">
        <v>156</v>
      </c>
      <c r="C8" s="48" t="s">
        <v>157</v>
      </c>
      <c r="D8" s="48" t="s">
        <v>158</v>
      </c>
      <c r="E8" s="48" t="s">
        <v>159</v>
      </c>
      <c r="F8" s="49" t="s">
        <v>160</v>
      </c>
      <c r="G8" s="49" t="s">
        <v>161</v>
      </c>
      <c r="H8" s="48" t="s">
        <v>162</v>
      </c>
    </row>
    <row r="9" spans="1:9" s="52" customFormat="1" ht="12.75" customHeight="1" x14ac:dyDescent="0.2">
      <c r="A9" s="50" t="s">
        <v>176</v>
      </c>
      <c r="B9" s="50" t="s">
        <v>164</v>
      </c>
      <c r="C9" s="50" t="s">
        <v>170</v>
      </c>
      <c r="D9" s="50" t="s">
        <v>171</v>
      </c>
      <c r="E9" s="50" t="s">
        <v>2</v>
      </c>
      <c r="F9" s="51">
        <v>39234</v>
      </c>
      <c r="G9" s="51">
        <v>39569</v>
      </c>
      <c r="H9" s="50" t="s">
        <v>177</v>
      </c>
    </row>
    <row r="10" spans="1:9" s="55" customFormat="1" ht="12.75" customHeight="1" x14ac:dyDescent="0.2">
      <c r="A10" s="53" t="s">
        <v>177</v>
      </c>
      <c r="B10" s="53" t="s">
        <v>164</v>
      </c>
      <c r="C10" s="53" t="s">
        <v>178</v>
      </c>
      <c r="D10" s="53" t="s">
        <v>179</v>
      </c>
      <c r="E10" s="53" t="s">
        <v>2</v>
      </c>
      <c r="F10" s="54">
        <v>39448</v>
      </c>
      <c r="G10" s="54">
        <v>39845</v>
      </c>
      <c r="H10" s="53" t="s">
        <v>180</v>
      </c>
    </row>
    <row r="11" spans="1:9" ht="12.75" customHeight="1" x14ac:dyDescent="0.25">
      <c r="A11" s="42" t="s">
        <v>180</v>
      </c>
      <c r="B11" s="42" t="s">
        <v>164</v>
      </c>
      <c r="C11" s="42" t="s">
        <v>173</v>
      </c>
      <c r="D11" s="42" t="s">
        <v>174</v>
      </c>
      <c r="E11" s="42" t="s">
        <v>2</v>
      </c>
      <c r="F11" s="43">
        <v>39814</v>
      </c>
      <c r="G11" s="43" t="s">
        <v>175</v>
      </c>
    </row>
    <row r="16" spans="1:9" ht="18" x14ac:dyDescent="0.25">
      <c r="A16" s="45"/>
      <c r="B16" s="45" t="s">
        <v>181</v>
      </c>
      <c r="C16" s="45"/>
      <c r="D16" s="45"/>
      <c r="E16" s="45"/>
      <c r="F16" s="45"/>
      <c r="G16" s="46"/>
      <c r="H16" s="46"/>
      <c r="I16" s="45"/>
    </row>
    <row r="17" spans="1:9" x14ac:dyDescent="0.25">
      <c r="A17" s="48" t="s">
        <v>155</v>
      </c>
      <c r="B17" s="48" t="s">
        <v>156</v>
      </c>
      <c r="C17" s="48" t="s">
        <v>182</v>
      </c>
      <c r="D17" s="48" t="s">
        <v>183</v>
      </c>
      <c r="E17" s="48" t="s">
        <v>184</v>
      </c>
      <c r="F17" s="48" t="s">
        <v>159</v>
      </c>
      <c r="G17" s="49" t="s">
        <v>160</v>
      </c>
      <c r="H17" s="49" t="s">
        <v>161</v>
      </c>
      <c r="I17" s="48" t="s">
        <v>162</v>
      </c>
    </row>
    <row r="18" spans="1:9" x14ac:dyDescent="0.25">
      <c r="A18" s="50" t="s">
        <v>185</v>
      </c>
      <c r="B18" s="50" t="s">
        <v>186</v>
      </c>
      <c r="C18" s="50" t="s">
        <v>187</v>
      </c>
      <c r="D18" s="50" t="s">
        <v>188</v>
      </c>
      <c r="E18" s="50" t="s">
        <v>189</v>
      </c>
      <c r="F18" s="50" t="s">
        <v>167</v>
      </c>
      <c r="G18" s="51">
        <v>38231</v>
      </c>
      <c r="H18" s="51">
        <v>39479</v>
      </c>
      <c r="I18" s="50" t="s">
        <v>190</v>
      </c>
    </row>
    <row r="19" spans="1:9" x14ac:dyDescent="0.25">
      <c r="A19" s="50" t="s">
        <v>191</v>
      </c>
      <c r="B19" s="50" t="s">
        <v>192</v>
      </c>
      <c r="C19" s="50" t="s">
        <v>187</v>
      </c>
      <c r="D19" s="50" t="s">
        <v>188</v>
      </c>
      <c r="E19" s="50" t="s">
        <v>189</v>
      </c>
      <c r="F19" s="50" t="s">
        <v>167</v>
      </c>
      <c r="G19" s="51">
        <v>38231</v>
      </c>
      <c r="H19" s="51">
        <v>39479</v>
      </c>
      <c r="I19" s="50" t="s">
        <v>193</v>
      </c>
    </row>
    <row r="20" spans="1:9" x14ac:dyDescent="0.25">
      <c r="A20" s="50" t="s">
        <v>194</v>
      </c>
      <c r="B20" s="50" t="s">
        <v>186</v>
      </c>
      <c r="C20" s="50" t="s">
        <v>195</v>
      </c>
      <c r="D20" s="50" t="s">
        <v>188</v>
      </c>
      <c r="E20" s="50" t="s">
        <v>189</v>
      </c>
      <c r="F20" s="50" t="s">
        <v>167</v>
      </c>
      <c r="G20" s="51">
        <v>38231</v>
      </c>
      <c r="H20" s="51">
        <v>39479</v>
      </c>
      <c r="I20" s="50" t="s">
        <v>196</v>
      </c>
    </row>
    <row r="21" spans="1:9" x14ac:dyDescent="0.25">
      <c r="A21" s="50" t="s">
        <v>197</v>
      </c>
      <c r="B21" s="50" t="s">
        <v>192</v>
      </c>
      <c r="C21" s="50" t="s">
        <v>195</v>
      </c>
      <c r="D21" s="50" t="s">
        <v>188</v>
      </c>
      <c r="E21" s="50" t="s">
        <v>189</v>
      </c>
      <c r="F21" s="50" t="s">
        <v>167</v>
      </c>
      <c r="G21" s="51">
        <v>38231</v>
      </c>
      <c r="H21" s="51">
        <v>39479</v>
      </c>
      <c r="I21" s="50" t="s">
        <v>198</v>
      </c>
    </row>
    <row r="22" spans="1:9" x14ac:dyDescent="0.25">
      <c r="A22" s="50" t="s">
        <v>190</v>
      </c>
      <c r="B22" s="50" t="s">
        <v>186</v>
      </c>
      <c r="C22" s="50" t="s">
        <v>187</v>
      </c>
      <c r="D22" s="50" t="s">
        <v>188</v>
      </c>
      <c r="E22" s="50" t="s">
        <v>189</v>
      </c>
      <c r="F22" s="50" t="s">
        <v>199</v>
      </c>
      <c r="G22" s="51">
        <v>39326</v>
      </c>
      <c r="H22" s="51">
        <v>40725</v>
      </c>
      <c r="I22" s="50" t="s">
        <v>200</v>
      </c>
    </row>
    <row r="23" spans="1:9" x14ac:dyDescent="0.25">
      <c r="A23" s="50" t="s">
        <v>193</v>
      </c>
      <c r="B23" s="50" t="s">
        <v>192</v>
      </c>
      <c r="C23" s="50" t="s">
        <v>187</v>
      </c>
      <c r="D23" s="50" t="s">
        <v>188</v>
      </c>
      <c r="E23" s="50" t="s">
        <v>189</v>
      </c>
      <c r="F23" s="50" t="s">
        <v>199</v>
      </c>
      <c r="G23" s="51">
        <v>39326</v>
      </c>
      <c r="H23" s="51">
        <v>39783</v>
      </c>
      <c r="I23" s="50" t="s">
        <v>201</v>
      </c>
    </row>
    <row r="24" spans="1:9" x14ac:dyDescent="0.25">
      <c r="A24" s="50" t="s">
        <v>196</v>
      </c>
      <c r="B24" s="50" t="s">
        <v>186</v>
      </c>
      <c r="C24" s="50" t="s">
        <v>195</v>
      </c>
      <c r="D24" s="50" t="s">
        <v>188</v>
      </c>
      <c r="E24" s="50" t="s">
        <v>189</v>
      </c>
      <c r="F24" s="50" t="s">
        <v>199</v>
      </c>
      <c r="G24" s="51">
        <v>39326</v>
      </c>
      <c r="H24" s="51">
        <v>40634</v>
      </c>
      <c r="I24" s="50" t="s">
        <v>202</v>
      </c>
    </row>
    <row r="25" spans="1:9" x14ac:dyDescent="0.25">
      <c r="A25" s="50" t="s">
        <v>198</v>
      </c>
      <c r="B25" s="50" t="s">
        <v>192</v>
      </c>
      <c r="C25" s="50" t="s">
        <v>195</v>
      </c>
      <c r="D25" s="50" t="s">
        <v>188</v>
      </c>
      <c r="E25" s="50" t="s">
        <v>189</v>
      </c>
      <c r="F25" s="50" t="s">
        <v>199</v>
      </c>
      <c r="G25" s="51">
        <v>39326</v>
      </c>
      <c r="H25" s="51">
        <v>39814</v>
      </c>
      <c r="I25" s="50" t="s">
        <v>203</v>
      </c>
    </row>
    <row r="26" spans="1:9" x14ac:dyDescent="0.25">
      <c r="A26" s="50" t="s">
        <v>200</v>
      </c>
      <c r="B26" s="50" t="s">
        <v>186</v>
      </c>
      <c r="C26" s="50" t="s">
        <v>187</v>
      </c>
      <c r="D26" s="50" t="s">
        <v>188</v>
      </c>
      <c r="E26" s="50" t="s">
        <v>189</v>
      </c>
      <c r="F26" s="50" t="s">
        <v>199</v>
      </c>
      <c r="G26" s="51">
        <v>39753</v>
      </c>
      <c r="H26" s="51" t="s">
        <v>175</v>
      </c>
      <c r="I26" s="50"/>
    </row>
    <row r="27" spans="1:9" x14ac:dyDescent="0.25">
      <c r="A27" s="50" t="s">
        <v>201</v>
      </c>
      <c r="B27" s="50" t="s">
        <v>192</v>
      </c>
      <c r="C27" s="50" t="s">
        <v>187</v>
      </c>
      <c r="D27" s="50" t="s">
        <v>188</v>
      </c>
      <c r="E27" s="50" t="s">
        <v>189</v>
      </c>
      <c r="F27" s="50" t="s">
        <v>199</v>
      </c>
      <c r="G27" s="51">
        <v>39783</v>
      </c>
      <c r="H27" s="51" t="s">
        <v>175</v>
      </c>
      <c r="I27" s="50"/>
    </row>
    <row r="28" spans="1:9" x14ac:dyDescent="0.25">
      <c r="A28" s="50" t="s">
        <v>202</v>
      </c>
      <c r="B28" s="50" t="s">
        <v>186</v>
      </c>
      <c r="C28" s="50" t="s">
        <v>195</v>
      </c>
      <c r="D28" s="50" t="s">
        <v>188</v>
      </c>
      <c r="E28" s="50" t="s">
        <v>189</v>
      </c>
      <c r="F28" s="50" t="s">
        <v>199</v>
      </c>
      <c r="G28" s="51">
        <v>39753</v>
      </c>
      <c r="H28" s="51" t="s">
        <v>175</v>
      </c>
      <c r="I28" s="50"/>
    </row>
    <row r="29" spans="1:9" x14ac:dyDescent="0.25">
      <c r="A29" s="50" t="s">
        <v>203</v>
      </c>
      <c r="B29" s="50" t="s">
        <v>192</v>
      </c>
      <c r="C29" s="50" t="s">
        <v>195</v>
      </c>
      <c r="D29" s="50" t="s">
        <v>188</v>
      </c>
      <c r="E29" s="50" t="s">
        <v>189</v>
      </c>
      <c r="F29" s="50" t="s">
        <v>199</v>
      </c>
      <c r="G29" s="51">
        <v>39753</v>
      </c>
      <c r="H29" s="51" t="s">
        <v>175</v>
      </c>
      <c r="I29" s="50"/>
    </row>
    <row r="30" spans="1:9" x14ac:dyDescent="0.25">
      <c r="A30" s="50"/>
      <c r="B30" s="50"/>
      <c r="C30" s="50"/>
      <c r="D30" s="50"/>
      <c r="E30" s="50"/>
      <c r="F30" s="50"/>
      <c r="G30" s="51"/>
      <c r="H30" s="51"/>
      <c r="I30" s="50"/>
    </row>
    <row r="31" spans="1:9" x14ac:dyDescent="0.25">
      <c r="A31" s="50"/>
      <c r="B31" s="50"/>
      <c r="C31" s="50"/>
      <c r="D31" s="50"/>
      <c r="E31" s="50"/>
      <c r="F31" s="50"/>
      <c r="G31" s="51"/>
      <c r="H31" s="51"/>
      <c r="I31" s="50"/>
    </row>
    <row r="32" spans="1:9" x14ac:dyDescent="0.25">
      <c r="A32" s="48" t="s">
        <v>155</v>
      </c>
      <c r="B32" s="48" t="s">
        <v>156</v>
      </c>
      <c r="C32" s="48" t="s">
        <v>182</v>
      </c>
      <c r="D32" s="48" t="s">
        <v>183</v>
      </c>
      <c r="E32" s="48" t="s">
        <v>204</v>
      </c>
      <c r="F32" s="48" t="s">
        <v>159</v>
      </c>
      <c r="G32" s="49" t="s">
        <v>160</v>
      </c>
      <c r="H32" s="49" t="s">
        <v>161</v>
      </c>
      <c r="I32" s="48" t="s">
        <v>162</v>
      </c>
    </row>
    <row r="35" spans="1:9" x14ac:dyDescent="0.25">
      <c r="A35" s="48" t="s">
        <v>155</v>
      </c>
      <c r="B35" s="48" t="s">
        <v>156</v>
      </c>
      <c r="C35" s="72" t="s">
        <v>182</v>
      </c>
      <c r="D35" s="73"/>
      <c r="E35" s="48" t="s">
        <v>183</v>
      </c>
      <c r="F35" s="48" t="s">
        <v>184</v>
      </c>
      <c r="G35" s="48" t="s">
        <v>159</v>
      </c>
      <c r="H35" s="49"/>
      <c r="I35" s="48"/>
    </row>
    <row r="36" spans="1:9" x14ac:dyDescent="0.25">
      <c r="A36" s="50" t="s">
        <v>200</v>
      </c>
      <c r="B36" s="50" t="s">
        <v>186</v>
      </c>
      <c r="C36" s="68" t="s">
        <v>299</v>
      </c>
      <c r="D36" s="42" t="s">
        <v>187</v>
      </c>
      <c r="E36" s="50" t="s">
        <v>188</v>
      </c>
      <c r="F36" s="50" t="s">
        <v>189</v>
      </c>
      <c r="G36" s="50" t="s">
        <v>199</v>
      </c>
      <c r="H36" s="51"/>
      <c r="I36" s="50"/>
    </row>
    <row r="37" spans="1:9" x14ac:dyDescent="0.25">
      <c r="A37" s="50" t="s">
        <v>202</v>
      </c>
      <c r="B37" s="50" t="s">
        <v>186</v>
      </c>
      <c r="C37" s="69" t="s">
        <v>299</v>
      </c>
      <c r="D37" s="42" t="s">
        <v>195</v>
      </c>
      <c r="E37" s="50" t="s">
        <v>188</v>
      </c>
      <c r="F37" s="50" t="s">
        <v>189</v>
      </c>
      <c r="G37" s="50" t="s">
        <v>199</v>
      </c>
      <c r="H37" s="51"/>
      <c r="I37" s="50"/>
    </row>
    <row r="38" spans="1:9" x14ac:dyDescent="0.25">
      <c r="A38" s="50" t="s">
        <v>201</v>
      </c>
      <c r="B38" s="50" t="s">
        <v>192</v>
      </c>
      <c r="C38" s="70">
        <v>5</v>
      </c>
      <c r="D38" s="42" t="s">
        <v>187</v>
      </c>
      <c r="E38" s="50" t="s">
        <v>188</v>
      </c>
      <c r="F38" s="50" t="s">
        <v>189</v>
      </c>
      <c r="G38" s="50" t="s">
        <v>199</v>
      </c>
      <c r="H38" s="51"/>
      <c r="I38" s="50"/>
    </row>
    <row r="39" spans="1:9" x14ac:dyDescent="0.25">
      <c r="A39" s="50" t="s">
        <v>203</v>
      </c>
      <c r="B39" s="50" t="s">
        <v>192</v>
      </c>
      <c r="C39" s="70">
        <v>5</v>
      </c>
      <c r="D39" s="42" t="s">
        <v>195</v>
      </c>
      <c r="E39" s="50" t="s">
        <v>188</v>
      </c>
      <c r="F39" s="50" t="s">
        <v>189</v>
      </c>
      <c r="G39" s="50" t="s">
        <v>199</v>
      </c>
      <c r="H39" s="51"/>
      <c r="I39" s="50"/>
    </row>
  </sheetData>
  <mergeCells count="1">
    <mergeCell ref="C35:D35"/>
  </mergeCells>
  <pageMargins left="0.7" right="0.7" top="0.75" bottom="0.75" header="0.51180555555555496" footer="0.51180555555555496"/>
  <pageSetup paperSize="0" scale="0" firstPageNumber="0" orientation="portrait" usePrinterDefaults="0" horizontalDpi="0" verticalDpi="0" copie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X5"/>
  <sheetViews>
    <sheetView workbookViewId="0">
      <selection activeCell="R1" sqref="R1:X4"/>
    </sheetView>
  </sheetViews>
  <sheetFormatPr defaultRowHeight="15" x14ac:dyDescent="0.25"/>
  <sheetData>
    <row r="1" spans="1:24" x14ac:dyDescent="0.25">
      <c r="B1" t="s">
        <v>280</v>
      </c>
      <c r="C1" t="s">
        <v>281</v>
      </c>
      <c r="D1" s="9" t="s">
        <v>284</v>
      </c>
      <c r="E1" s="9" t="s">
        <v>282</v>
      </c>
      <c r="F1" s="9" t="s">
        <v>283</v>
      </c>
      <c r="G1" t="s">
        <v>285</v>
      </c>
      <c r="H1" t="s">
        <v>286</v>
      </c>
      <c r="I1" s="9" t="s">
        <v>287</v>
      </c>
      <c r="J1" s="9" t="s">
        <v>288</v>
      </c>
      <c r="K1" s="9" t="s">
        <v>289</v>
      </c>
      <c r="L1" t="s">
        <v>290</v>
      </c>
      <c r="M1" t="s">
        <v>291</v>
      </c>
      <c r="N1" s="9" t="s">
        <v>292</v>
      </c>
      <c r="O1" s="9" t="s">
        <v>293</v>
      </c>
      <c r="P1" s="9" t="s">
        <v>294</v>
      </c>
      <c r="T1" t="s">
        <v>226</v>
      </c>
      <c r="U1" t="s">
        <v>297</v>
      </c>
      <c r="V1" t="s">
        <v>213</v>
      </c>
      <c r="W1" t="s">
        <v>215</v>
      </c>
      <c r="X1" t="s">
        <v>216</v>
      </c>
    </row>
    <row r="2" spans="1:24" x14ac:dyDescent="0.25">
      <c r="A2" t="s">
        <v>278</v>
      </c>
      <c r="B2" s="61">
        <v>2.36145</v>
      </c>
      <c r="C2" s="61">
        <v>2.36145</v>
      </c>
      <c r="D2" s="61">
        <v>2.3613</v>
      </c>
      <c r="E2" s="61">
        <v>2.3614999999999999</v>
      </c>
      <c r="F2" s="61">
        <v>2.3614000000000002</v>
      </c>
      <c r="G2" s="61">
        <v>2.3626999999999998</v>
      </c>
      <c r="H2" s="61">
        <v>2.3626999999999998</v>
      </c>
      <c r="I2" s="61">
        <v>2.363</v>
      </c>
      <c r="J2" s="61">
        <v>2.363</v>
      </c>
      <c r="K2" s="61">
        <v>2.3628999999999998</v>
      </c>
      <c r="L2" s="61">
        <f t="shared" ref="L2:P3" si="0">G2-B2</f>
        <v>1.2499999999997513E-3</v>
      </c>
      <c r="M2" s="61">
        <f t="shared" si="0"/>
        <v>1.2499999999997513E-3</v>
      </c>
      <c r="N2" s="61">
        <f t="shared" si="0"/>
        <v>1.7000000000000348E-3</v>
      </c>
      <c r="O2" s="61">
        <f t="shared" si="0"/>
        <v>1.5000000000000568E-3</v>
      </c>
      <c r="P2" s="61">
        <f t="shared" si="0"/>
        <v>1.4999999999996128E-3</v>
      </c>
      <c r="R2" t="s">
        <v>295</v>
      </c>
      <c r="T2" s="61">
        <f>MIN(B2:F3)</f>
        <v>2.3610000000000002</v>
      </c>
      <c r="U2" s="61">
        <f>MROUND(AVERAGE(B2:F3),0.00005)</f>
        <v>2.3612500000000001</v>
      </c>
      <c r="V2" s="61">
        <f>MAX(B2:F3)</f>
        <v>2.3614999999999999</v>
      </c>
      <c r="W2" s="61">
        <f>T2-U2</f>
        <v>-2.4999999999986144E-4</v>
      </c>
      <c r="X2" s="61">
        <f>V2-U2</f>
        <v>2.4999999999986144E-4</v>
      </c>
    </row>
    <row r="3" spans="1:24" x14ac:dyDescent="0.25">
      <c r="A3" t="s">
        <v>279</v>
      </c>
      <c r="B3" s="61">
        <v>2.3611</v>
      </c>
      <c r="C3" s="61">
        <v>2.3611</v>
      </c>
      <c r="D3" s="61">
        <v>2.3612000000000002</v>
      </c>
      <c r="E3" s="61">
        <v>2.3610000000000002</v>
      </c>
      <c r="F3" s="61">
        <v>2.3612000000000002</v>
      </c>
      <c r="G3" s="61">
        <v>2.3626999999999998</v>
      </c>
      <c r="H3" s="61">
        <v>2.3626999999999998</v>
      </c>
      <c r="I3" s="61">
        <v>2.363</v>
      </c>
      <c r="J3" s="61">
        <v>2.363</v>
      </c>
      <c r="K3" s="61">
        <v>2.3628999999999998</v>
      </c>
      <c r="L3" s="61">
        <f t="shared" si="0"/>
        <v>1.5999999999998238E-3</v>
      </c>
      <c r="M3" s="61">
        <f t="shared" si="0"/>
        <v>1.5999999999998238E-3</v>
      </c>
      <c r="N3" s="61">
        <f t="shared" si="0"/>
        <v>1.7999999999998018E-3</v>
      </c>
      <c r="O3" s="61">
        <f t="shared" si="0"/>
        <v>1.9999999999997797E-3</v>
      </c>
      <c r="P3" s="61">
        <f t="shared" si="0"/>
        <v>1.6999999999995907E-3</v>
      </c>
      <c r="R3" t="s">
        <v>296</v>
      </c>
      <c r="T3" s="61">
        <f>MIN(G2:K3)</f>
        <v>2.3626999999999998</v>
      </c>
      <c r="U3" s="61">
        <f>MROUND(AVERAGE(G2:K3),0.00005)</f>
        <v>2.3628499999999999</v>
      </c>
      <c r="V3" s="61">
        <f>MAX(G2:K3)</f>
        <v>2.363</v>
      </c>
      <c r="W3" s="61">
        <f>T3-U3</f>
        <v>-1.500000000000945E-4</v>
      </c>
      <c r="X3" s="61">
        <f>V3-U3</f>
        <v>1.500000000000945E-4</v>
      </c>
    </row>
    <row r="4" spans="1:24" x14ac:dyDescent="0.25">
      <c r="C4" s="9"/>
      <c r="D4" s="9"/>
      <c r="E4" s="9"/>
      <c r="F4" s="9"/>
      <c r="R4" t="s">
        <v>274</v>
      </c>
      <c r="T4" s="61">
        <f>MIN(G2:K3)-MAX(B2:F3)</f>
        <v>1.1999999999998678E-3</v>
      </c>
      <c r="U4" s="61">
        <f>MROUND(AVERAGE(L2:P3),0.00005)</f>
        <v>1.6000000000000001E-3</v>
      </c>
      <c r="V4" s="61">
        <f>MAX(G2:K3)-MIN(B2:F3)</f>
        <v>1.9999999999997797E-3</v>
      </c>
      <c r="W4" s="61">
        <f>T4-U4</f>
        <v>-4.0000000000013224E-4</v>
      </c>
      <c r="X4" s="61">
        <f>V4-U4</f>
        <v>3.9999999999977966E-4</v>
      </c>
    </row>
    <row r="5" spans="1:24" x14ac:dyDescent="0.25">
      <c r="H5" s="9"/>
      <c r="I5" s="9"/>
      <c r="J5" s="9"/>
      <c r="K5" s="9"/>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ML36"/>
  <sheetViews>
    <sheetView topLeftCell="B1" zoomScaleNormal="100" workbookViewId="0">
      <selection activeCell="N11" sqref="N11"/>
    </sheetView>
  </sheetViews>
  <sheetFormatPr defaultRowHeight="15" x14ac:dyDescent="0.25"/>
  <cols>
    <col min="1" max="1" width="48.85546875"/>
    <col min="2" max="2" width="11.7109375" style="9" bestFit="1" customWidth="1"/>
    <col min="3" max="10" width="9.140625" style="57"/>
    <col min="11" max="15" width="10.7109375" style="58"/>
    <col min="16" max="1026" width="9.140625" style="9"/>
  </cols>
  <sheetData>
    <row r="1" spans="1:18" ht="15" customHeight="1" x14ac:dyDescent="0.25">
      <c r="B1" s="61" t="s">
        <v>265</v>
      </c>
      <c r="C1" s="67" t="s">
        <v>222</v>
      </c>
      <c r="D1" s="67" t="s">
        <v>218</v>
      </c>
      <c r="E1" s="67" t="s">
        <v>223</v>
      </c>
      <c r="F1" s="67" t="s">
        <v>219</v>
      </c>
      <c r="G1" s="67" t="s">
        <v>224</v>
      </c>
      <c r="H1" s="67" t="s">
        <v>220</v>
      </c>
      <c r="I1" s="67" t="s">
        <v>225</v>
      </c>
      <c r="J1" s="67" t="s">
        <v>221</v>
      </c>
      <c r="K1" s="59" t="s">
        <v>226</v>
      </c>
      <c r="L1" s="59" t="s">
        <v>213</v>
      </c>
      <c r="M1" s="59" t="s">
        <v>214</v>
      </c>
      <c r="N1" s="59" t="s">
        <v>215</v>
      </c>
      <c r="O1" s="59" t="s">
        <v>216</v>
      </c>
    </row>
    <row r="2" spans="1:18" ht="15" customHeight="1" x14ac:dyDescent="0.25">
      <c r="A2" t="s">
        <v>227</v>
      </c>
      <c r="B2" s="61" t="s">
        <v>230</v>
      </c>
      <c r="C2" s="67">
        <v>2.0465</v>
      </c>
      <c r="D2" s="67">
        <v>2.0465499999999999</v>
      </c>
      <c r="E2" s="67">
        <v>2.0465499999999999</v>
      </c>
      <c r="F2" s="67">
        <v>2.0465</v>
      </c>
      <c r="G2" s="67">
        <v>2.0466000000000002</v>
      </c>
      <c r="H2" s="67">
        <v>2.0465499999999999</v>
      </c>
      <c r="I2" s="67">
        <v>2.0465</v>
      </c>
      <c r="J2" s="67">
        <v>2.0466000000000002</v>
      </c>
      <c r="K2" s="60">
        <f>MIN(C2:J13)</f>
        <v>2.0464000000000002</v>
      </c>
      <c r="L2" s="60">
        <f>MAX(C2:J13)</f>
        <v>2.0468000000000002</v>
      </c>
      <c r="M2" s="60">
        <f>MODE(C2:J13)</f>
        <v>2.0465</v>
      </c>
      <c r="N2" s="60">
        <f>K2-M2</f>
        <v>-9.9999999999766942E-5</v>
      </c>
      <c r="O2" s="60">
        <f>L2-M2</f>
        <v>3.00000000000189E-4</v>
      </c>
      <c r="P2" s="61"/>
      <c r="Q2" s="61"/>
      <c r="R2" s="61"/>
    </row>
    <row r="3" spans="1:18" ht="15" customHeight="1" x14ac:dyDescent="0.25">
      <c r="A3" t="s">
        <v>228</v>
      </c>
      <c r="B3" s="61" t="s">
        <v>231</v>
      </c>
      <c r="C3" s="67">
        <v>2.0465</v>
      </c>
      <c r="D3" s="67">
        <v>2.0465499999999999</v>
      </c>
      <c r="E3" s="67">
        <v>2.0465499999999999</v>
      </c>
      <c r="F3" s="67">
        <v>2.0465</v>
      </c>
      <c r="G3" s="67">
        <v>2.0466000000000002</v>
      </c>
      <c r="H3" s="67">
        <v>2.0466000000000002</v>
      </c>
      <c r="I3" s="67">
        <v>2.0465</v>
      </c>
      <c r="J3" s="67">
        <v>2.0465</v>
      </c>
      <c r="K3" s="60"/>
      <c r="L3" s="60"/>
      <c r="M3" s="60"/>
      <c r="N3" s="60"/>
      <c r="O3" s="60"/>
      <c r="P3" s="61"/>
      <c r="Q3" s="61"/>
      <c r="R3" s="61"/>
    </row>
    <row r="4" spans="1:18" ht="15" customHeight="1" x14ac:dyDescent="0.25">
      <c r="A4" t="s">
        <v>229</v>
      </c>
      <c r="B4" s="61" t="s">
        <v>232</v>
      </c>
      <c r="C4" s="67">
        <v>2.0465</v>
      </c>
      <c r="D4" s="67">
        <v>2.0465</v>
      </c>
      <c r="E4" s="67">
        <v>2.0465</v>
      </c>
      <c r="F4" s="67">
        <v>2.0465</v>
      </c>
      <c r="G4" s="67">
        <v>2.0465</v>
      </c>
      <c r="H4" s="67">
        <v>2.0465</v>
      </c>
      <c r="I4" s="67">
        <v>2.0465</v>
      </c>
      <c r="J4" s="67">
        <v>2.0465</v>
      </c>
      <c r="K4" s="60"/>
      <c r="L4" s="60" t="s">
        <v>262</v>
      </c>
      <c r="M4" s="60" t="s">
        <v>263</v>
      </c>
      <c r="N4" s="60"/>
      <c r="O4" s="60"/>
    </row>
    <row r="5" spans="1:18" x14ac:dyDescent="0.25">
      <c r="B5" s="61" t="s">
        <v>233</v>
      </c>
      <c r="C5" s="67">
        <v>2.0466000000000002</v>
      </c>
      <c r="D5" s="67">
        <v>2.0467</v>
      </c>
      <c r="E5" s="67">
        <v>2.0465</v>
      </c>
      <c r="F5" s="67">
        <v>2.0466000000000002</v>
      </c>
      <c r="G5" s="67">
        <v>2.0464000000000002</v>
      </c>
      <c r="H5" s="67">
        <v>2.0464000000000002</v>
      </c>
      <c r="I5" s="67">
        <v>2.0465</v>
      </c>
      <c r="J5" s="67">
        <v>2.0465</v>
      </c>
      <c r="L5" s="62">
        <v>2.0463</v>
      </c>
      <c r="M5" s="58">
        <f t="shared" ref="M5:M12" si="0">COUNTIF(C$25:J$36,L5)</f>
        <v>0</v>
      </c>
    </row>
    <row r="6" spans="1:18" x14ac:dyDescent="0.25">
      <c r="B6" s="61" t="s">
        <v>234</v>
      </c>
      <c r="C6" s="67">
        <v>2.0465</v>
      </c>
      <c r="D6" s="67">
        <v>2.0465</v>
      </c>
      <c r="E6" s="67">
        <v>2.0465</v>
      </c>
      <c r="F6" s="67">
        <v>2.0465</v>
      </c>
      <c r="G6" s="67">
        <v>2.0464000000000002</v>
      </c>
      <c r="H6" s="67">
        <v>2.0464000000000002</v>
      </c>
      <c r="I6" s="67">
        <v>2.0464000000000002</v>
      </c>
      <c r="J6" s="67">
        <v>2.0464000000000002</v>
      </c>
      <c r="L6" s="62">
        <v>2.0464000000000002</v>
      </c>
      <c r="M6" s="58">
        <f t="shared" si="0"/>
        <v>17</v>
      </c>
    </row>
    <row r="7" spans="1:18" x14ac:dyDescent="0.25">
      <c r="B7" s="61" t="s">
        <v>235</v>
      </c>
      <c r="C7" s="67">
        <v>2.0467</v>
      </c>
      <c r="D7" s="67">
        <v>2.0468000000000002</v>
      </c>
      <c r="E7" s="67">
        <v>2.0467</v>
      </c>
      <c r="F7" s="67">
        <v>2.0467</v>
      </c>
      <c r="G7" s="67">
        <v>2.0467</v>
      </c>
      <c r="H7" s="67">
        <v>2.0467</v>
      </c>
      <c r="I7" s="67">
        <v>2.0467</v>
      </c>
      <c r="J7" s="67">
        <v>2.0467</v>
      </c>
      <c r="L7" s="62">
        <v>2.0465</v>
      </c>
      <c r="M7" s="58">
        <f t="shared" si="0"/>
        <v>53</v>
      </c>
    </row>
    <row r="8" spans="1:18" ht="15" customHeight="1" x14ac:dyDescent="0.25">
      <c r="A8" t="s">
        <v>33</v>
      </c>
      <c r="B8" s="61" t="s">
        <v>236</v>
      </c>
      <c r="C8" s="67">
        <v>2.0465</v>
      </c>
      <c r="D8" s="67">
        <v>2.0465</v>
      </c>
      <c r="E8" s="67">
        <v>2.0465</v>
      </c>
      <c r="F8" s="67">
        <v>2.0465</v>
      </c>
      <c r="G8" s="67">
        <v>2.0465</v>
      </c>
      <c r="H8" s="67">
        <v>2.0465</v>
      </c>
      <c r="I8" s="67">
        <v>2.0465</v>
      </c>
      <c r="J8" s="67">
        <v>2.0465</v>
      </c>
      <c r="K8" s="59"/>
      <c r="L8" s="62">
        <v>2.0466000000000002</v>
      </c>
      <c r="M8" s="58">
        <f t="shared" si="0"/>
        <v>14</v>
      </c>
      <c r="N8" s="59"/>
      <c r="O8" s="59"/>
    </row>
    <row r="9" spans="1:18" ht="15" customHeight="1" x14ac:dyDescent="0.25">
      <c r="B9" s="61" t="s">
        <v>237</v>
      </c>
      <c r="C9" s="67">
        <v>2.0465</v>
      </c>
      <c r="D9" s="67">
        <v>2.0465</v>
      </c>
      <c r="E9" s="67">
        <v>2.0465</v>
      </c>
      <c r="F9" s="67">
        <v>2.0465</v>
      </c>
      <c r="G9" s="67">
        <v>2.0464000000000002</v>
      </c>
      <c r="H9" s="67">
        <v>2.0464000000000002</v>
      </c>
      <c r="I9" s="67">
        <v>2.0464000000000002</v>
      </c>
      <c r="J9" s="67">
        <v>2.0464000000000002</v>
      </c>
      <c r="K9" s="62"/>
      <c r="L9" s="62">
        <v>2.0467</v>
      </c>
      <c r="M9" s="58">
        <f t="shared" si="0"/>
        <v>9</v>
      </c>
      <c r="N9" s="62"/>
      <c r="O9" s="62"/>
    </row>
    <row r="10" spans="1:18" ht="15" customHeight="1" x14ac:dyDescent="0.25">
      <c r="A10" t="s">
        <v>230</v>
      </c>
      <c r="B10" s="61" t="s">
        <v>238</v>
      </c>
      <c r="C10" s="67">
        <v>2.0465</v>
      </c>
      <c r="D10" s="67">
        <v>2.0465</v>
      </c>
      <c r="E10" s="67">
        <v>2.0465</v>
      </c>
      <c r="F10" s="67">
        <v>2.0465</v>
      </c>
      <c r="G10" s="67">
        <v>2.0464000000000002</v>
      </c>
      <c r="H10" s="67">
        <v>2.0464000000000002</v>
      </c>
      <c r="I10" s="67">
        <v>2.0464000000000002</v>
      </c>
      <c r="J10" s="67">
        <v>2.0464000000000002</v>
      </c>
      <c r="L10" s="62">
        <v>2.0468000000000002</v>
      </c>
      <c r="M10" s="58">
        <f t="shared" si="0"/>
        <v>3</v>
      </c>
    </row>
    <row r="11" spans="1:18" ht="15" customHeight="1" x14ac:dyDescent="0.25">
      <c r="A11" t="s">
        <v>231</v>
      </c>
      <c r="B11" s="61" t="s">
        <v>239</v>
      </c>
      <c r="C11" s="67">
        <v>2.0465</v>
      </c>
      <c r="D11" s="67">
        <v>2.0465</v>
      </c>
      <c r="E11" s="67">
        <v>2.0465</v>
      </c>
      <c r="F11" s="67">
        <v>2.0465</v>
      </c>
      <c r="G11" s="67">
        <v>2.0464000000000002</v>
      </c>
      <c r="H11" s="67">
        <v>2.0464000000000002</v>
      </c>
      <c r="I11" s="67">
        <v>2.0466000000000002</v>
      </c>
      <c r="J11" s="67">
        <v>2.0466000000000002</v>
      </c>
      <c r="L11" s="62">
        <v>2.0468999999999999</v>
      </c>
      <c r="M11" s="58">
        <f t="shared" si="0"/>
        <v>0</v>
      </c>
    </row>
    <row r="12" spans="1:18" ht="15" customHeight="1" x14ac:dyDescent="0.25">
      <c r="A12" t="s">
        <v>232</v>
      </c>
      <c r="B12" s="61" t="s">
        <v>240</v>
      </c>
      <c r="C12" s="67">
        <v>2.0468000000000002</v>
      </c>
      <c r="D12" s="67">
        <v>2.0468000000000002</v>
      </c>
      <c r="E12" s="67">
        <v>2.0465</v>
      </c>
      <c r="F12" s="67">
        <v>2.0465</v>
      </c>
      <c r="G12" s="67">
        <v>2.0464000000000002</v>
      </c>
      <c r="H12" s="67">
        <v>2.0465</v>
      </c>
      <c r="I12" s="67">
        <v>2.0466000000000002</v>
      </c>
      <c r="J12" s="67">
        <v>2.0467</v>
      </c>
      <c r="L12" s="62">
        <v>2.0470000000000002</v>
      </c>
      <c r="M12" s="58">
        <f t="shared" si="0"/>
        <v>0</v>
      </c>
    </row>
    <row r="13" spans="1:18" ht="15" customHeight="1" x14ac:dyDescent="0.25">
      <c r="A13" t="s">
        <v>233</v>
      </c>
      <c r="B13" s="61" t="s">
        <v>241</v>
      </c>
      <c r="C13" s="67">
        <v>2.0465</v>
      </c>
      <c r="D13" s="67">
        <v>2.0465</v>
      </c>
      <c r="E13" s="67">
        <v>2.0465</v>
      </c>
      <c r="F13" s="67">
        <v>2.0465</v>
      </c>
      <c r="G13" s="67">
        <v>2.0465</v>
      </c>
      <c r="H13" s="67">
        <v>2.0465</v>
      </c>
      <c r="I13" s="67">
        <v>2.0465</v>
      </c>
      <c r="J13" s="67">
        <v>2.0465</v>
      </c>
      <c r="L13" s="62"/>
    </row>
    <row r="14" spans="1:18" ht="15" customHeight="1" x14ac:dyDescent="0.25">
      <c r="L14" s="62"/>
    </row>
    <row r="15" spans="1:18" ht="15" customHeight="1" x14ac:dyDescent="0.25">
      <c r="L15" s="62"/>
    </row>
    <row r="16" spans="1:18" ht="15" customHeight="1" x14ac:dyDescent="0.25">
      <c r="L16" s="62"/>
    </row>
    <row r="17" spans="2:15" ht="15" customHeight="1" x14ac:dyDescent="0.25">
      <c r="L17" s="62"/>
    </row>
    <row r="18" spans="2:15" ht="15" customHeight="1" x14ac:dyDescent="0.25">
      <c r="L18" s="62"/>
    </row>
    <row r="19" spans="2:15" ht="15" customHeight="1" x14ac:dyDescent="0.25">
      <c r="L19" s="62"/>
    </row>
    <row r="20" spans="2:15" ht="15" customHeight="1" x14ac:dyDescent="0.25"/>
    <row r="21" spans="2:15" ht="15" customHeight="1" x14ac:dyDescent="0.25"/>
    <row r="24" spans="2:15" x14ac:dyDescent="0.25">
      <c r="B24" s="9" t="s">
        <v>264</v>
      </c>
      <c r="K24" s="59" t="s">
        <v>226</v>
      </c>
      <c r="L24" s="59" t="s">
        <v>213</v>
      </c>
      <c r="M24" s="59" t="s">
        <v>214</v>
      </c>
      <c r="N24" s="59" t="s">
        <v>215</v>
      </c>
      <c r="O24" s="59" t="s">
        <v>216</v>
      </c>
    </row>
    <row r="25" spans="2:15" x14ac:dyDescent="0.25">
      <c r="B25" s="61" t="s">
        <v>230</v>
      </c>
      <c r="C25" s="67">
        <f>ROUND(C2,4)</f>
        <v>2.0465</v>
      </c>
      <c r="D25" s="67">
        <f t="shared" ref="D25:J25" si="1">ROUND(D2,4)</f>
        <v>2.0466000000000002</v>
      </c>
      <c r="E25" s="67">
        <f t="shared" si="1"/>
        <v>2.0466000000000002</v>
      </c>
      <c r="F25" s="67">
        <f t="shared" si="1"/>
        <v>2.0465</v>
      </c>
      <c r="G25" s="67">
        <f t="shared" si="1"/>
        <v>2.0466000000000002</v>
      </c>
      <c r="H25" s="67">
        <f t="shared" si="1"/>
        <v>2.0466000000000002</v>
      </c>
      <c r="I25" s="67">
        <f t="shared" si="1"/>
        <v>2.0465</v>
      </c>
      <c r="J25" s="67">
        <f t="shared" si="1"/>
        <v>2.0466000000000002</v>
      </c>
      <c r="K25" s="62">
        <f>MIN(C25:J36)</f>
        <v>2.0464000000000002</v>
      </c>
      <c r="L25" s="62">
        <f>MAX(C25:J36)</f>
        <v>2.0468000000000002</v>
      </c>
      <c r="M25" s="62">
        <f>MODE(C25:J36)</f>
        <v>2.0465</v>
      </c>
      <c r="N25" s="62">
        <f>K25-M25</f>
        <v>-9.9999999999766942E-5</v>
      </c>
      <c r="O25" s="62">
        <f>L25-M25</f>
        <v>3.00000000000189E-4</v>
      </c>
    </row>
    <row r="26" spans="2:15" x14ac:dyDescent="0.25">
      <c r="B26" s="61" t="s">
        <v>231</v>
      </c>
      <c r="C26" s="67">
        <f t="shared" ref="C26:J36" si="2">ROUND(C3,4)</f>
        <v>2.0465</v>
      </c>
      <c r="D26" s="67">
        <f t="shared" si="2"/>
        <v>2.0466000000000002</v>
      </c>
      <c r="E26" s="67">
        <f t="shared" si="2"/>
        <v>2.0466000000000002</v>
      </c>
      <c r="F26" s="67">
        <f t="shared" si="2"/>
        <v>2.0465</v>
      </c>
      <c r="G26" s="67">
        <f t="shared" si="2"/>
        <v>2.0466000000000002</v>
      </c>
      <c r="H26" s="67">
        <f t="shared" si="2"/>
        <v>2.0466000000000002</v>
      </c>
      <c r="I26" s="67">
        <f t="shared" si="2"/>
        <v>2.0465</v>
      </c>
      <c r="J26" s="67">
        <f t="shared" si="2"/>
        <v>2.0465</v>
      </c>
    </row>
    <row r="27" spans="2:15" x14ac:dyDescent="0.25">
      <c r="B27" s="61" t="s">
        <v>232</v>
      </c>
      <c r="C27" s="67">
        <f t="shared" si="2"/>
        <v>2.0465</v>
      </c>
      <c r="D27" s="67">
        <f t="shared" si="2"/>
        <v>2.0465</v>
      </c>
      <c r="E27" s="67">
        <f t="shared" si="2"/>
        <v>2.0465</v>
      </c>
      <c r="F27" s="67">
        <f t="shared" si="2"/>
        <v>2.0465</v>
      </c>
      <c r="G27" s="67">
        <f t="shared" si="2"/>
        <v>2.0465</v>
      </c>
      <c r="H27" s="67">
        <f t="shared" si="2"/>
        <v>2.0465</v>
      </c>
      <c r="I27" s="67">
        <f t="shared" si="2"/>
        <v>2.0465</v>
      </c>
      <c r="J27" s="67">
        <f t="shared" si="2"/>
        <v>2.0465</v>
      </c>
    </row>
    <row r="28" spans="2:15" x14ac:dyDescent="0.25">
      <c r="B28" s="61" t="s">
        <v>233</v>
      </c>
      <c r="C28" s="67">
        <f t="shared" si="2"/>
        <v>2.0466000000000002</v>
      </c>
      <c r="D28" s="67">
        <f t="shared" si="2"/>
        <v>2.0467</v>
      </c>
      <c r="E28" s="67">
        <f t="shared" si="2"/>
        <v>2.0465</v>
      </c>
      <c r="F28" s="67">
        <f t="shared" si="2"/>
        <v>2.0466000000000002</v>
      </c>
      <c r="G28" s="67">
        <f t="shared" si="2"/>
        <v>2.0464000000000002</v>
      </c>
      <c r="H28" s="67">
        <f t="shared" si="2"/>
        <v>2.0464000000000002</v>
      </c>
      <c r="I28" s="67">
        <f t="shared" si="2"/>
        <v>2.0465</v>
      </c>
      <c r="J28" s="67">
        <f t="shared" si="2"/>
        <v>2.0465</v>
      </c>
    </row>
    <row r="29" spans="2:15" x14ac:dyDescent="0.25">
      <c r="B29" s="61" t="s">
        <v>234</v>
      </c>
      <c r="C29" s="67">
        <f t="shared" si="2"/>
        <v>2.0465</v>
      </c>
      <c r="D29" s="67">
        <f t="shared" si="2"/>
        <v>2.0465</v>
      </c>
      <c r="E29" s="67">
        <f t="shared" si="2"/>
        <v>2.0465</v>
      </c>
      <c r="F29" s="67">
        <f t="shared" si="2"/>
        <v>2.0465</v>
      </c>
      <c r="G29" s="67">
        <f t="shared" si="2"/>
        <v>2.0464000000000002</v>
      </c>
      <c r="H29" s="67">
        <f t="shared" si="2"/>
        <v>2.0464000000000002</v>
      </c>
      <c r="I29" s="67">
        <f t="shared" si="2"/>
        <v>2.0464000000000002</v>
      </c>
      <c r="J29" s="67">
        <f t="shared" si="2"/>
        <v>2.0464000000000002</v>
      </c>
    </row>
    <row r="30" spans="2:15" x14ac:dyDescent="0.25">
      <c r="B30" s="61" t="s">
        <v>235</v>
      </c>
      <c r="C30" s="67">
        <f t="shared" si="2"/>
        <v>2.0467</v>
      </c>
      <c r="D30" s="67">
        <f t="shared" si="2"/>
        <v>2.0468000000000002</v>
      </c>
      <c r="E30" s="67">
        <f t="shared" si="2"/>
        <v>2.0467</v>
      </c>
      <c r="F30" s="67">
        <f t="shared" si="2"/>
        <v>2.0467</v>
      </c>
      <c r="G30" s="67">
        <f t="shared" si="2"/>
        <v>2.0467</v>
      </c>
      <c r="H30" s="67">
        <f t="shared" si="2"/>
        <v>2.0467</v>
      </c>
      <c r="I30" s="67">
        <f t="shared" si="2"/>
        <v>2.0467</v>
      </c>
      <c r="J30" s="67">
        <f t="shared" si="2"/>
        <v>2.0467</v>
      </c>
    </row>
    <row r="31" spans="2:15" x14ac:dyDescent="0.25">
      <c r="B31" s="61" t="s">
        <v>236</v>
      </c>
      <c r="C31" s="67">
        <f t="shared" si="2"/>
        <v>2.0465</v>
      </c>
      <c r="D31" s="67">
        <f t="shared" si="2"/>
        <v>2.0465</v>
      </c>
      <c r="E31" s="67">
        <f t="shared" si="2"/>
        <v>2.0465</v>
      </c>
      <c r="F31" s="67">
        <f t="shared" si="2"/>
        <v>2.0465</v>
      </c>
      <c r="G31" s="67">
        <f t="shared" si="2"/>
        <v>2.0465</v>
      </c>
      <c r="H31" s="67">
        <f t="shared" si="2"/>
        <v>2.0465</v>
      </c>
      <c r="I31" s="67">
        <f t="shared" si="2"/>
        <v>2.0465</v>
      </c>
      <c r="J31" s="67">
        <f t="shared" si="2"/>
        <v>2.0465</v>
      </c>
    </row>
    <row r="32" spans="2:15" x14ac:dyDescent="0.25">
      <c r="B32" s="61" t="s">
        <v>237</v>
      </c>
      <c r="C32" s="67">
        <f t="shared" si="2"/>
        <v>2.0465</v>
      </c>
      <c r="D32" s="67">
        <f t="shared" si="2"/>
        <v>2.0465</v>
      </c>
      <c r="E32" s="67">
        <f t="shared" si="2"/>
        <v>2.0465</v>
      </c>
      <c r="F32" s="67">
        <f t="shared" si="2"/>
        <v>2.0465</v>
      </c>
      <c r="G32" s="67">
        <f t="shared" si="2"/>
        <v>2.0464000000000002</v>
      </c>
      <c r="H32" s="67">
        <f t="shared" si="2"/>
        <v>2.0464000000000002</v>
      </c>
      <c r="I32" s="67">
        <f t="shared" si="2"/>
        <v>2.0464000000000002</v>
      </c>
      <c r="J32" s="67">
        <f t="shared" si="2"/>
        <v>2.0464000000000002</v>
      </c>
    </row>
    <row r="33" spans="2:10" x14ac:dyDescent="0.25">
      <c r="B33" s="61" t="s">
        <v>238</v>
      </c>
      <c r="C33" s="67">
        <f t="shared" si="2"/>
        <v>2.0465</v>
      </c>
      <c r="D33" s="67">
        <f t="shared" si="2"/>
        <v>2.0465</v>
      </c>
      <c r="E33" s="67">
        <f t="shared" si="2"/>
        <v>2.0465</v>
      </c>
      <c r="F33" s="67">
        <f t="shared" si="2"/>
        <v>2.0465</v>
      </c>
      <c r="G33" s="67">
        <f t="shared" si="2"/>
        <v>2.0464000000000002</v>
      </c>
      <c r="H33" s="67">
        <f t="shared" si="2"/>
        <v>2.0464000000000002</v>
      </c>
      <c r="I33" s="67">
        <f t="shared" si="2"/>
        <v>2.0464000000000002</v>
      </c>
      <c r="J33" s="67">
        <f t="shared" si="2"/>
        <v>2.0464000000000002</v>
      </c>
    </row>
    <row r="34" spans="2:10" x14ac:dyDescent="0.25">
      <c r="B34" s="61" t="s">
        <v>239</v>
      </c>
      <c r="C34" s="67">
        <f t="shared" si="2"/>
        <v>2.0465</v>
      </c>
      <c r="D34" s="67">
        <f t="shared" si="2"/>
        <v>2.0465</v>
      </c>
      <c r="E34" s="67">
        <f t="shared" si="2"/>
        <v>2.0465</v>
      </c>
      <c r="F34" s="67">
        <f t="shared" si="2"/>
        <v>2.0465</v>
      </c>
      <c r="G34" s="67">
        <f t="shared" si="2"/>
        <v>2.0464000000000002</v>
      </c>
      <c r="H34" s="67">
        <f t="shared" si="2"/>
        <v>2.0464000000000002</v>
      </c>
      <c r="I34" s="67">
        <f t="shared" si="2"/>
        <v>2.0466000000000002</v>
      </c>
      <c r="J34" s="67">
        <f t="shared" si="2"/>
        <v>2.0466000000000002</v>
      </c>
    </row>
    <row r="35" spans="2:10" x14ac:dyDescent="0.25">
      <c r="B35" s="61" t="s">
        <v>240</v>
      </c>
      <c r="C35" s="67">
        <f t="shared" si="2"/>
        <v>2.0468000000000002</v>
      </c>
      <c r="D35" s="67">
        <f t="shared" si="2"/>
        <v>2.0468000000000002</v>
      </c>
      <c r="E35" s="67">
        <f t="shared" si="2"/>
        <v>2.0465</v>
      </c>
      <c r="F35" s="67">
        <f t="shared" si="2"/>
        <v>2.0465</v>
      </c>
      <c r="G35" s="67">
        <f t="shared" si="2"/>
        <v>2.0464000000000002</v>
      </c>
      <c r="H35" s="67">
        <f t="shared" si="2"/>
        <v>2.0465</v>
      </c>
      <c r="I35" s="67">
        <f t="shared" si="2"/>
        <v>2.0466000000000002</v>
      </c>
      <c r="J35" s="67">
        <f t="shared" si="2"/>
        <v>2.0467</v>
      </c>
    </row>
    <row r="36" spans="2:10" x14ac:dyDescent="0.25">
      <c r="B36" s="61" t="s">
        <v>241</v>
      </c>
      <c r="C36" s="67">
        <f t="shared" si="2"/>
        <v>2.0465</v>
      </c>
      <c r="D36" s="67">
        <f t="shared" si="2"/>
        <v>2.0465</v>
      </c>
      <c r="E36" s="67">
        <f t="shared" si="2"/>
        <v>2.0465</v>
      </c>
      <c r="F36" s="67">
        <f t="shared" si="2"/>
        <v>2.0465</v>
      </c>
      <c r="G36" s="67">
        <f t="shared" si="2"/>
        <v>2.0465</v>
      </c>
      <c r="H36" s="67">
        <f t="shared" si="2"/>
        <v>2.0465</v>
      </c>
      <c r="I36" s="67">
        <f t="shared" si="2"/>
        <v>2.0465</v>
      </c>
      <c r="J36" s="67">
        <f t="shared" si="2"/>
        <v>2.0465</v>
      </c>
    </row>
  </sheetData>
  <pageMargins left="0.7" right="0.7" top="0.75" bottom="0.75" header="0.51180555555555496" footer="0.51180555555555496"/>
  <pageSetup firstPageNumber="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G11"/>
  <sheetViews>
    <sheetView zoomScaleNormal="100" workbookViewId="0">
      <selection activeCell="A2" sqref="A2:XFD2"/>
    </sheetView>
  </sheetViews>
  <sheetFormatPr defaultRowHeight="15" x14ac:dyDescent="0.25"/>
  <cols>
    <col min="1" max="1" width="9.140625" style="9"/>
    <col min="2" max="29" width="9.140625" style="61"/>
    <col min="30" max="31" width="9.140625" style="9"/>
    <col min="32" max="33" width="9.140625" style="61"/>
    <col min="34" max="16384" width="9.140625" style="9"/>
  </cols>
  <sheetData>
    <row r="1" spans="1:13" x14ac:dyDescent="0.25">
      <c r="B1" s="9" t="s">
        <v>303</v>
      </c>
      <c r="C1" s="61">
        <v>0.95240000000000002</v>
      </c>
      <c r="E1" s="61" t="s">
        <v>304</v>
      </c>
      <c r="F1" s="61">
        <v>0.75580000000000003</v>
      </c>
    </row>
    <row r="2" spans="1:13" x14ac:dyDescent="0.25">
      <c r="B2" s="9"/>
    </row>
    <row r="3" spans="1:13" x14ac:dyDescent="0.25">
      <c r="A3" s="75"/>
      <c r="B3" s="74"/>
      <c r="C3" s="76" t="s">
        <v>301</v>
      </c>
      <c r="D3" s="76" t="s">
        <v>308</v>
      </c>
      <c r="E3" s="76" t="s">
        <v>309</v>
      </c>
      <c r="F3" s="76" t="s">
        <v>300</v>
      </c>
      <c r="I3" s="56" t="s">
        <v>226</v>
      </c>
      <c r="J3" s="56" t="s">
        <v>213</v>
      </c>
      <c r="K3" s="56" t="s">
        <v>214</v>
      </c>
      <c r="L3" s="56" t="s">
        <v>215</v>
      </c>
      <c r="M3" s="56" t="s">
        <v>216</v>
      </c>
    </row>
    <row r="4" spans="1:13" x14ac:dyDescent="0.25">
      <c r="A4" s="77" t="s">
        <v>307</v>
      </c>
      <c r="B4" s="74" t="s">
        <v>205</v>
      </c>
      <c r="C4" s="74">
        <v>0.82674999999999998</v>
      </c>
      <c r="D4" s="74">
        <v>2.0087000000000002</v>
      </c>
      <c r="E4" s="74">
        <f>D4+($C$1-$F$1)</f>
        <v>2.2053000000000003</v>
      </c>
      <c r="F4" s="74">
        <v>0.72504999999999997</v>
      </c>
      <c r="H4" s="61" t="s">
        <v>301</v>
      </c>
      <c r="I4" s="61">
        <f>MIN(C4:C21989)</f>
        <v>0.82674999999999998</v>
      </c>
      <c r="J4" s="61">
        <f>MAX(C4:C21989)</f>
        <v>0.82674999999999998</v>
      </c>
      <c r="K4" s="61">
        <f>MODE(C4:C21989)</f>
        <v>0.82674999999999998</v>
      </c>
      <c r="L4" s="61">
        <f>I4-K4</f>
        <v>0</v>
      </c>
      <c r="M4" s="61">
        <f>J4-K4</f>
        <v>0</v>
      </c>
    </row>
    <row r="5" spans="1:13" x14ac:dyDescent="0.25">
      <c r="A5" s="77"/>
      <c r="B5" s="74" t="s">
        <v>206</v>
      </c>
      <c r="C5" s="74">
        <v>0.82674999999999998</v>
      </c>
      <c r="D5" s="74">
        <v>2.0085999999999999</v>
      </c>
      <c r="E5" s="74">
        <f t="shared" ref="E5:E11" si="0">D5+($C$1-$F$1)</f>
        <v>2.2052</v>
      </c>
      <c r="F5" s="74">
        <v>0.72514999999999996</v>
      </c>
      <c r="H5" s="61" t="s">
        <v>302</v>
      </c>
      <c r="I5" s="61">
        <f>MIN(E4:E21989)</f>
        <v>2.2052</v>
      </c>
      <c r="J5" s="61">
        <f>MAX(E4:E21989)</f>
        <v>2.2053000000000003</v>
      </c>
      <c r="K5" s="61">
        <f>MODE(E4:E21989)</f>
        <v>2.2052</v>
      </c>
      <c r="L5" s="61">
        <f t="shared" ref="L5:L6" si="1">I5-K5</f>
        <v>0</v>
      </c>
      <c r="M5" s="61">
        <f t="shared" ref="M5:M6" si="2">J5-K5</f>
        <v>1.0000000000021103E-4</v>
      </c>
    </row>
    <row r="6" spans="1:13" x14ac:dyDescent="0.25">
      <c r="A6" s="77"/>
      <c r="B6" s="74" t="s">
        <v>207</v>
      </c>
      <c r="C6" s="74">
        <v>0.82674999999999998</v>
      </c>
      <c r="D6" s="74">
        <v>2.0085999999999999</v>
      </c>
      <c r="E6" s="74">
        <f t="shared" si="0"/>
        <v>2.2052</v>
      </c>
      <c r="F6" s="74">
        <v>0.72445000000000004</v>
      </c>
      <c r="H6" s="61" t="s">
        <v>217</v>
      </c>
      <c r="I6" s="61">
        <f>MIN(F4:F21989)</f>
        <v>0.72445000000000004</v>
      </c>
      <c r="J6" s="61">
        <f>MAX(F4:F21989)</f>
        <v>0.72519999999999996</v>
      </c>
      <c r="K6" s="61">
        <v>0.72499999999999998</v>
      </c>
      <c r="L6" s="61">
        <f t="shared" si="1"/>
        <v>-5.4999999999993943E-4</v>
      </c>
      <c r="M6" s="61">
        <f t="shared" si="2"/>
        <v>1.9999999999997797E-4</v>
      </c>
    </row>
    <row r="7" spans="1:13" x14ac:dyDescent="0.25">
      <c r="A7" s="77"/>
      <c r="B7" s="74" t="s">
        <v>208</v>
      </c>
      <c r="C7" s="74">
        <v>0.82674999999999998</v>
      </c>
      <c r="D7" s="74">
        <v>2.0087000000000002</v>
      </c>
      <c r="E7" s="74">
        <f t="shared" si="0"/>
        <v>2.2053000000000003</v>
      </c>
      <c r="F7" s="74">
        <v>0.72499999999999998</v>
      </c>
    </row>
    <row r="8" spans="1:13" x14ac:dyDescent="0.25">
      <c r="A8" s="77"/>
      <c r="B8" s="74" t="s">
        <v>209</v>
      </c>
      <c r="C8" s="74">
        <v>0.82674999999999998</v>
      </c>
      <c r="D8" s="74">
        <v>2.0087000000000002</v>
      </c>
      <c r="E8" s="74">
        <f t="shared" si="0"/>
        <v>2.2053000000000003</v>
      </c>
      <c r="F8" s="74">
        <v>0.7248</v>
      </c>
    </row>
    <row r="9" spans="1:13" x14ac:dyDescent="0.25">
      <c r="A9" s="77"/>
      <c r="B9" s="74" t="s">
        <v>210</v>
      </c>
      <c r="C9" s="74">
        <v>0.82674999999999998</v>
      </c>
      <c r="D9" s="74">
        <v>2.0085999999999999</v>
      </c>
      <c r="E9" s="74">
        <f t="shared" si="0"/>
        <v>2.2052</v>
      </c>
      <c r="F9" s="74">
        <v>0.72519999999999996</v>
      </c>
    </row>
    <row r="10" spans="1:13" x14ac:dyDescent="0.25">
      <c r="A10" s="77"/>
      <c r="B10" s="74" t="s">
        <v>211</v>
      </c>
      <c r="C10" s="74">
        <v>0.82674999999999998</v>
      </c>
      <c r="D10" s="74">
        <v>2.0085999999999999</v>
      </c>
      <c r="E10" s="74">
        <f t="shared" si="0"/>
        <v>2.2052</v>
      </c>
      <c r="F10" s="74">
        <v>0.72465000000000002</v>
      </c>
    </row>
    <row r="11" spans="1:13" x14ac:dyDescent="0.25">
      <c r="A11" s="77"/>
      <c r="B11" s="74" t="s">
        <v>212</v>
      </c>
      <c r="C11" s="74">
        <v>0.82674999999999998</v>
      </c>
      <c r="D11" s="74">
        <v>2.0085999999999999</v>
      </c>
      <c r="E11" s="74">
        <f t="shared" si="0"/>
        <v>2.2052</v>
      </c>
      <c r="F11" s="74">
        <v>0.72450000000000003</v>
      </c>
    </row>
  </sheetData>
  <mergeCells count="1">
    <mergeCell ref="A4:A11"/>
  </mergeCells>
  <pageMargins left="0.7" right="0.7" top="0.75" bottom="0.75" header="0.51180555555555496" footer="0.51180555555555496"/>
  <pageSetup paperSize="0" scale="0" firstPageNumber="0" orientation="portrait" usePrinterDefaults="0" horizontalDpi="0" verticalDpi="0" copie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9"/>
  <sheetViews>
    <sheetView workbookViewId="0">
      <selection activeCell="I34" sqref="I34"/>
    </sheetView>
  </sheetViews>
  <sheetFormatPr defaultRowHeight="15" x14ac:dyDescent="0.25"/>
  <cols>
    <col min="1" max="1" width="9.140625" style="9"/>
    <col min="2" max="29" width="9.140625" style="61"/>
    <col min="30" max="31" width="9.140625" style="9"/>
    <col min="32" max="33" width="9.140625" style="61"/>
    <col min="34" max="16384" width="9.140625" style="9"/>
  </cols>
  <sheetData>
    <row r="1" spans="1:13" x14ac:dyDescent="0.25">
      <c r="B1" s="9" t="s">
        <v>303</v>
      </c>
      <c r="C1" s="61">
        <v>0.95240000000000002</v>
      </c>
      <c r="E1" s="61" t="s">
        <v>304</v>
      </c>
      <c r="F1" s="61">
        <v>0.75580000000000003</v>
      </c>
    </row>
    <row r="3" spans="1:13" x14ac:dyDescent="0.25">
      <c r="A3" s="75"/>
      <c r="B3" s="74"/>
      <c r="C3" s="76" t="s">
        <v>301</v>
      </c>
      <c r="D3" s="76" t="s">
        <v>308</v>
      </c>
      <c r="E3" s="76" t="s">
        <v>309</v>
      </c>
      <c r="F3" s="76" t="s">
        <v>300</v>
      </c>
      <c r="I3" s="56" t="s">
        <v>226</v>
      </c>
      <c r="J3" s="56" t="s">
        <v>213</v>
      </c>
      <c r="K3" s="56" t="s">
        <v>214</v>
      </c>
      <c r="L3" s="56" t="s">
        <v>215</v>
      </c>
      <c r="M3" s="56" t="s">
        <v>216</v>
      </c>
    </row>
    <row r="4" spans="1:13" x14ac:dyDescent="0.25">
      <c r="A4" s="77" t="s">
        <v>305</v>
      </c>
      <c r="B4" s="74" t="s">
        <v>205</v>
      </c>
      <c r="C4" s="74">
        <v>0.82674999999999998</v>
      </c>
      <c r="D4" s="74">
        <v>2.0081500000000001</v>
      </c>
      <c r="E4" s="74">
        <f>D4+($C$1-$F$1)</f>
        <v>2.2047500000000002</v>
      </c>
      <c r="F4" s="74">
        <v>0.72499999999999998</v>
      </c>
      <c r="H4" s="61" t="s">
        <v>301</v>
      </c>
      <c r="I4" s="61">
        <f>MIN(C4:C21989)</f>
        <v>0.82674999999999998</v>
      </c>
      <c r="J4" s="61">
        <f>MAX(C4:C21989)</f>
        <v>0.82674999999999998</v>
      </c>
      <c r="K4" s="61">
        <f>MODE(C4:C21989)</f>
        <v>0.82674999999999998</v>
      </c>
      <c r="L4" s="61">
        <f>I4-K4</f>
        <v>0</v>
      </c>
      <c r="M4" s="61">
        <f>J4-K4</f>
        <v>0</v>
      </c>
    </row>
    <row r="5" spans="1:13" x14ac:dyDescent="0.25">
      <c r="A5" s="77"/>
      <c r="B5" s="74" t="s">
        <v>206</v>
      </c>
      <c r="C5" s="74">
        <v>0.82674999999999998</v>
      </c>
      <c r="D5" s="74">
        <v>2.0082</v>
      </c>
      <c r="E5" s="74">
        <f t="shared" ref="E5:E19" si="0">D5+($C$1-$F$1)</f>
        <v>2.2048000000000001</v>
      </c>
      <c r="F5" s="74">
        <v>0.72509999999999997</v>
      </c>
      <c r="H5" s="61" t="s">
        <v>302</v>
      </c>
      <c r="I5" s="61">
        <f>MIN(E4:E21989)</f>
        <v>2.2047000000000003</v>
      </c>
      <c r="J5" s="61">
        <f>MAX(E4:E21989)</f>
        <v>2.2054</v>
      </c>
      <c r="K5" s="61">
        <f>MODE(E4:E21989)</f>
        <v>2.2048000000000001</v>
      </c>
      <c r="L5" s="61">
        <f t="shared" ref="L5:L6" si="1">I5-K5</f>
        <v>-9.9999999999766942E-5</v>
      </c>
      <c r="M5" s="61">
        <f t="shared" ref="M5:M6" si="2">J5-K5</f>
        <v>5.9999999999993392E-4</v>
      </c>
    </row>
    <row r="6" spans="1:13" x14ac:dyDescent="0.25">
      <c r="A6" s="77"/>
      <c r="B6" s="74" t="s">
        <v>207</v>
      </c>
      <c r="C6" s="74">
        <v>0.82674999999999998</v>
      </c>
      <c r="D6" s="74">
        <v>2.0081000000000002</v>
      </c>
      <c r="E6" s="74">
        <f t="shared" si="0"/>
        <v>2.2047000000000003</v>
      </c>
      <c r="F6" s="74">
        <v>0.72499999999999998</v>
      </c>
      <c r="H6" s="61" t="s">
        <v>217</v>
      </c>
      <c r="I6" s="61">
        <f>MIN(F4:F21989)</f>
        <v>0.72489999999999999</v>
      </c>
      <c r="J6" s="61">
        <f>MAX(F4:F21989)</f>
        <v>0.72575000000000001</v>
      </c>
      <c r="K6" s="61">
        <f>MODE(F4:F21989)</f>
        <v>0.72499999999999998</v>
      </c>
      <c r="L6" s="61">
        <f t="shared" si="1"/>
        <v>-9.9999999999988987E-5</v>
      </c>
      <c r="M6" s="61">
        <f t="shared" si="2"/>
        <v>7.5000000000002842E-4</v>
      </c>
    </row>
    <row r="7" spans="1:13" x14ac:dyDescent="0.25">
      <c r="A7" s="77"/>
      <c r="B7" s="74" t="s">
        <v>208</v>
      </c>
      <c r="C7" s="74">
        <v>0.82674999999999998</v>
      </c>
      <c r="D7" s="74">
        <v>2.0081000000000002</v>
      </c>
      <c r="E7" s="74">
        <f t="shared" si="0"/>
        <v>2.2047000000000003</v>
      </c>
      <c r="F7" s="74">
        <v>0.72499999999999998</v>
      </c>
    </row>
    <row r="8" spans="1:13" x14ac:dyDescent="0.25">
      <c r="A8" s="77"/>
      <c r="B8" s="74" t="s">
        <v>209</v>
      </c>
      <c r="C8" s="74">
        <v>0.82674999999999998</v>
      </c>
      <c r="D8" s="74">
        <v>2.0081000000000002</v>
      </c>
      <c r="E8" s="74">
        <f t="shared" si="0"/>
        <v>2.2047000000000003</v>
      </c>
      <c r="F8" s="74">
        <v>0.72489999999999999</v>
      </c>
    </row>
    <row r="9" spans="1:13" x14ac:dyDescent="0.25">
      <c r="A9" s="77"/>
      <c r="B9" s="74" t="s">
        <v>210</v>
      </c>
      <c r="C9" s="74">
        <v>0.82674999999999998</v>
      </c>
      <c r="D9" s="74">
        <v>2.0082</v>
      </c>
      <c r="E9" s="74">
        <f t="shared" si="0"/>
        <v>2.2048000000000001</v>
      </c>
      <c r="F9" s="74">
        <v>0.72504999999999997</v>
      </c>
    </row>
    <row r="10" spans="1:13" x14ac:dyDescent="0.25">
      <c r="A10" s="77"/>
      <c r="B10" s="74" t="s">
        <v>211</v>
      </c>
      <c r="C10" s="74">
        <v>0.82674999999999998</v>
      </c>
      <c r="D10" s="74">
        <v>2.0082</v>
      </c>
      <c r="E10" s="74">
        <f t="shared" si="0"/>
        <v>2.2048000000000001</v>
      </c>
      <c r="F10" s="74">
        <v>0.72504999999999997</v>
      </c>
    </row>
    <row r="11" spans="1:13" x14ac:dyDescent="0.25">
      <c r="A11" s="77"/>
      <c r="B11" s="74" t="s">
        <v>212</v>
      </c>
      <c r="C11" s="74">
        <v>0.82674999999999998</v>
      </c>
      <c r="D11" s="74">
        <v>2.0082</v>
      </c>
      <c r="E11" s="74">
        <f t="shared" si="0"/>
        <v>2.2048000000000001</v>
      </c>
      <c r="F11" s="74">
        <v>0.72499999999999998</v>
      </c>
    </row>
    <row r="12" spans="1:13" x14ac:dyDescent="0.25">
      <c r="A12" s="77" t="s">
        <v>306</v>
      </c>
      <c r="B12" s="74" t="s">
        <v>205</v>
      </c>
      <c r="C12" s="74">
        <v>0.82674999999999998</v>
      </c>
      <c r="D12" s="74">
        <v>2.0087999999999999</v>
      </c>
      <c r="E12" s="74">
        <f>D12+($C$1-$F$1)</f>
        <v>2.2054</v>
      </c>
      <c r="F12" s="74">
        <v>0.72509999999999997</v>
      </c>
    </row>
    <row r="13" spans="1:13" x14ac:dyDescent="0.25">
      <c r="A13" s="77"/>
      <c r="B13" s="74" t="s">
        <v>206</v>
      </c>
      <c r="C13" s="74">
        <v>0.82674999999999998</v>
      </c>
      <c r="D13" s="74">
        <v>2.0087999999999999</v>
      </c>
      <c r="E13" s="74">
        <f t="shared" si="0"/>
        <v>2.2054</v>
      </c>
      <c r="F13" s="74">
        <v>0.72499999999999998</v>
      </c>
    </row>
    <row r="14" spans="1:13" x14ac:dyDescent="0.25">
      <c r="A14" s="77"/>
      <c r="B14" s="74" t="s">
        <v>207</v>
      </c>
      <c r="C14" s="74">
        <v>0.82674999999999998</v>
      </c>
      <c r="D14" s="74">
        <v>2.0087000000000002</v>
      </c>
      <c r="E14" s="74">
        <f t="shared" si="0"/>
        <v>2.2053000000000003</v>
      </c>
      <c r="F14" s="74">
        <v>0.72499999999999998</v>
      </c>
    </row>
    <row r="15" spans="1:13" x14ac:dyDescent="0.25">
      <c r="A15" s="77"/>
      <c r="B15" s="74" t="s">
        <v>208</v>
      </c>
      <c r="C15" s="74">
        <v>0.82674999999999998</v>
      </c>
      <c r="D15" s="74">
        <v>2.0085999999999999</v>
      </c>
      <c r="E15" s="74">
        <f t="shared" si="0"/>
        <v>2.2052</v>
      </c>
      <c r="F15" s="74">
        <v>0.72499999999999998</v>
      </c>
    </row>
    <row r="16" spans="1:13" x14ac:dyDescent="0.25">
      <c r="A16" s="77"/>
      <c r="B16" s="74" t="s">
        <v>209</v>
      </c>
      <c r="C16" s="74">
        <v>0.82674999999999998</v>
      </c>
      <c r="D16" s="74">
        <v>2.0087000000000002</v>
      </c>
      <c r="E16" s="74">
        <f t="shared" si="0"/>
        <v>2.2053000000000003</v>
      </c>
      <c r="F16" s="74">
        <v>0.72514999999999996</v>
      </c>
    </row>
    <row r="17" spans="1:6" x14ac:dyDescent="0.25">
      <c r="A17" s="77"/>
      <c r="B17" s="74" t="s">
        <v>210</v>
      </c>
      <c r="C17" s="74">
        <v>0.82674999999999998</v>
      </c>
      <c r="D17" s="74">
        <v>2.0085999999999999</v>
      </c>
      <c r="E17" s="74">
        <f t="shared" si="0"/>
        <v>2.2052</v>
      </c>
      <c r="F17" s="74">
        <v>0.72499999999999998</v>
      </c>
    </row>
    <row r="18" spans="1:6" x14ac:dyDescent="0.25">
      <c r="A18" s="77"/>
      <c r="B18" s="74" t="s">
        <v>211</v>
      </c>
      <c r="C18" s="74">
        <v>0.82674999999999998</v>
      </c>
      <c r="D18" s="74">
        <v>2.0085999999999999</v>
      </c>
      <c r="E18" s="74">
        <f t="shared" si="0"/>
        <v>2.2052</v>
      </c>
      <c r="F18" s="74">
        <v>0.72575000000000001</v>
      </c>
    </row>
    <row r="19" spans="1:6" x14ac:dyDescent="0.25">
      <c r="A19" s="77"/>
      <c r="B19" s="74" t="s">
        <v>212</v>
      </c>
      <c r="C19" s="74">
        <v>0.82674999999999998</v>
      </c>
      <c r="D19" s="74">
        <v>2.0087999999999999</v>
      </c>
      <c r="E19" s="74">
        <f t="shared" si="0"/>
        <v>2.2054</v>
      </c>
      <c r="F19" s="74">
        <v>0.72565000000000002</v>
      </c>
    </row>
  </sheetData>
  <mergeCells count="2">
    <mergeCell ref="A4:A11"/>
    <mergeCell ref="A12:A19"/>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C15"/>
  <sheetViews>
    <sheetView topLeftCell="B1" workbookViewId="0">
      <selection activeCell="Z11" sqref="Z11"/>
    </sheetView>
  </sheetViews>
  <sheetFormatPr defaultRowHeight="15" x14ac:dyDescent="0.25"/>
  <cols>
    <col min="1" max="1" width="14" bestFit="1" customWidth="1"/>
  </cols>
  <sheetData>
    <row r="1" spans="1:29" s="9" customFormat="1" ht="15" customHeight="1" x14ac:dyDescent="0.25">
      <c r="A1" s="61" t="s">
        <v>270</v>
      </c>
      <c r="B1" s="9" t="s">
        <v>277</v>
      </c>
      <c r="C1" s="61"/>
      <c r="D1" s="61"/>
      <c r="E1" s="61"/>
      <c r="F1" s="61"/>
      <c r="G1" s="61"/>
      <c r="H1" s="61"/>
      <c r="I1" s="61"/>
      <c r="J1" s="61"/>
      <c r="K1" s="61"/>
      <c r="L1" s="61"/>
      <c r="M1" s="61"/>
      <c r="N1" s="61"/>
      <c r="O1" s="61"/>
    </row>
    <row r="2" spans="1:29" s="9" customFormat="1" ht="15" customHeight="1" x14ac:dyDescent="0.25">
      <c r="A2" s="61"/>
      <c r="B2" s="9" t="s">
        <v>272</v>
      </c>
      <c r="C2" s="61">
        <v>76.400000000000006</v>
      </c>
      <c r="D2" s="61">
        <v>76.3</v>
      </c>
      <c r="E2" s="61">
        <v>76.2</v>
      </c>
      <c r="F2" s="61">
        <v>76.099999999999994</v>
      </c>
      <c r="G2" s="61">
        <v>76</v>
      </c>
      <c r="H2" s="61">
        <v>76.099999999999994</v>
      </c>
      <c r="I2" s="61">
        <v>76.099999999999994</v>
      </c>
      <c r="J2" s="61">
        <v>76</v>
      </c>
      <c r="K2" s="61"/>
      <c r="L2" s="61"/>
      <c r="M2" s="61"/>
      <c r="N2" s="61"/>
      <c r="O2" s="61"/>
      <c r="Q2" s="73" t="s">
        <v>311</v>
      </c>
      <c r="R2" s="73"/>
      <c r="S2" s="73"/>
      <c r="T2" s="73"/>
      <c r="U2" s="73"/>
      <c r="V2" s="73"/>
      <c r="W2" s="73"/>
      <c r="X2" s="73"/>
    </row>
    <row r="3" spans="1:29" s="9" customFormat="1" ht="15" customHeight="1" x14ac:dyDescent="0.25">
      <c r="A3" s="61"/>
      <c r="B3" s="9" t="s">
        <v>273</v>
      </c>
      <c r="C3" s="61">
        <v>71</v>
      </c>
      <c r="D3" s="61">
        <v>71.400000000000006</v>
      </c>
      <c r="E3" s="61">
        <v>71</v>
      </c>
      <c r="F3" s="61">
        <v>71.2</v>
      </c>
      <c r="G3" s="61">
        <v>71.7</v>
      </c>
      <c r="H3" s="61">
        <v>71.400000000000006</v>
      </c>
      <c r="I3" s="61">
        <v>71.900000000000006</v>
      </c>
      <c r="J3" s="61">
        <v>71.900000000000006</v>
      </c>
      <c r="K3" s="56" t="s">
        <v>226</v>
      </c>
      <c r="L3" s="56" t="s">
        <v>213</v>
      </c>
      <c r="M3" s="56" t="s">
        <v>214</v>
      </c>
      <c r="N3" s="56" t="s">
        <v>215</v>
      </c>
      <c r="O3" s="56" t="s">
        <v>216</v>
      </c>
      <c r="Q3" s="71" t="s">
        <v>205</v>
      </c>
      <c r="R3" s="71" t="s">
        <v>206</v>
      </c>
      <c r="S3" s="71" t="s">
        <v>207</v>
      </c>
      <c r="T3" s="71" t="s">
        <v>208</v>
      </c>
      <c r="U3" s="71" t="s">
        <v>209</v>
      </c>
      <c r="V3" s="71" t="s">
        <v>210</v>
      </c>
      <c r="W3" s="71" t="s">
        <v>211</v>
      </c>
      <c r="X3" s="71" t="s">
        <v>212</v>
      </c>
      <c r="Y3" s="56" t="s">
        <v>226</v>
      </c>
      <c r="Z3" s="56" t="s">
        <v>213</v>
      </c>
      <c r="AA3" s="56" t="s">
        <v>214</v>
      </c>
      <c r="AB3" s="56" t="s">
        <v>215</v>
      </c>
      <c r="AC3" s="56" t="s">
        <v>216</v>
      </c>
    </row>
    <row r="4" spans="1:29" s="9" customFormat="1" ht="15" customHeight="1" x14ac:dyDescent="0.25">
      <c r="A4" s="61">
        <v>5</v>
      </c>
      <c r="C4" s="61">
        <v>2.0507</v>
      </c>
      <c r="D4" s="61">
        <v>2.0503999999999998</v>
      </c>
      <c r="E4" s="61">
        <v>2.0503499999999999</v>
      </c>
      <c r="F4" s="61">
        <v>2.0505499999999999</v>
      </c>
      <c r="G4" s="61">
        <v>2.0506000000000002</v>
      </c>
      <c r="H4" s="61">
        <v>2.0505</v>
      </c>
      <c r="I4" s="61">
        <v>2.0503499999999999</v>
      </c>
      <c r="J4" s="61">
        <v>2.0505</v>
      </c>
      <c r="K4" s="61">
        <f t="shared" ref="K4:K13" si="0">MIN(C4:J4)</f>
        <v>2.0503499999999999</v>
      </c>
      <c r="L4" s="61">
        <f t="shared" ref="L4:L13" si="1">MAX(C4:J4)</f>
        <v>2.0507</v>
      </c>
      <c r="M4" s="61">
        <f>MODE(C4:J4)</f>
        <v>2.0503499999999999</v>
      </c>
      <c r="N4" s="61">
        <f t="shared" ref="N4:N10" si="2">K4-M4</f>
        <v>0</v>
      </c>
      <c r="O4" s="61">
        <f t="shared" ref="O4:O10" si="3">L4-M4</f>
        <v>3.5000000000007248E-4</v>
      </c>
      <c r="P4" s="61"/>
      <c r="Q4" s="61">
        <f t="shared" ref="Q4:Q10" si="4">C4-C$7</f>
        <v>2.8500000000000192E-3</v>
      </c>
      <c r="R4" s="61">
        <f t="shared" ref="R4:R10" si="5">D4-D$7</f>
        <v>2.4999999999999467E-3</v>
      </c>
      <c r="S4" s="61">
        <f t="shared" ref="S4:S10" si="6">E4-E$7</f>
        <v>2.3999999999997357E-3</v>
      </c>
      <c r="T4" s="61">
        <f t="shared" ref="T4:T10" si="7">F4-F$7</f>
        <v>2.5999999999997137E-3</v>
      </c>
      <c r="U4" s="61">
        <f t="shared" ref="U4:U10" si="8">G4-G$7</f>
        <v>2.6000000000001577E-3</v>
      </c>
      <c r="V4" s="61">
        <f t="shared" ref="V4:V10" si="9">H4-H$7</f>
        <v>2.5499999999998302E-3</v>
      </c>
      <c r="W4" s="61">
        <f t="shared" ref="W4:W10" si="10">I4-I$7</f>
        <v>2.3499999999998522E-3</v>
      </c>
      <c r="X4" s="61">
        <f t="shared" ref="X4:X10" si="11">J4-J$7</f>
        <v>2.4999999999999467E-3</v>
      </c>
      <c r="Y4" s="61">
        <f t="shared" ref="Y4" si="12">MIN(Q4:X4)</f>
        <v>2.3499999999998522E-3</v>
      </c>
      <c r="Z4" s="61">
        <f t="shared" ref="Z4" si="13">MAX(Q4:X4)</f>
        <v>2.8500000000000192E-3</v>
      </c>
      <c r="AA4" s="61">
        <f>MODE(Q4:X4)</f>
        <v>2.4999999999999467E-3</v>
      </c>
      <c r="AB4" s="61">
        <f t="shared" ref="AB4" si="14">Y4-AA4</f>
        <v>-1.500000000000945E-4</v>
      </c>
      <c r="AC4" s="61">
        <f t="shared" ref="AC4" si="15">Z4-AA4</f>
        <v>3.5000000000007248E-4</v>
      </c>
    </row>
    <row r="5" spans="1:29" s="9" customFormat="1" ht="15" customHeight="1" x14ac:dyDescent="0.25">
      <c r="A5" s="61">
        <v>19.75</v>
      </c>
      <c r="C5" s="61">
        <v>2.0486</v>
      </c>
      <c r="D5" s="61">
        <v>2.0486</v>
      </c>
      <c r="E5" s="61">
        <v>2.0488</v>
      </c>
      <c r="F5" s="61">
        <v>2.0488</v>
      </c>
      <c r="G5" s="61">
        <v>2.0488</v>
      </c>
      <c r="H5" s="61">
        <v>2.0488499999999998</v>
      </c>
      <c r="I5" s="61">
        <v>2.0488499999999998</v>
      </c>
      <c r="J5" s="61">
        <v>2.0488499999999998</v>
      </c>
      <c r="K5" s="61">
        <f t="shared" si="0"/>
        <v>2.0486</v>
      </c>
      <c r="L5" s="61">
        <f t="shared" si="1"/>
        <v>2.0488499999999998</v>
      </c>
      <c r="M5" s="61">
        <f>MODE(C5:J5)</f>
        <v>2.0488</v>
      </c>
      <c r="N5" s="61">
        <f t="shared" si="2"/>
        <v>-1.9999999999997797E-4</v>
      </c>
      <c r="O5" s="61">
        <f t="shared" si="3"/>
        <v>4.9999999999883471E-5</v>
      </c>
      <c r="P5" s="61"/>
      <c r="Q5" s="61">
        <f t="shared" si="4"/>
        <v>7.5000000000002842E-4</v>
      </c>
      <c r="R5" s="61">
        <f t="shared" si="5"/>
        <v>7.0000000000014495E-4</v>
      </c>
      <c r="S5" s="61">
        <f t="shared" si="6"/>
        <v>8.4999999999979536E-4</v>
      </c>
      <c r="T5" s="61">
        <f t="shared" si="7"/>
        <v>8.4999999999979536E-4</v>
      </c>
      <c r="U5" s="61">
        <f t="shared" si="8"/>
        <v>7.9999999999991189E-4</v>
      </c>
      <c r="V5" s="61">
        <f t="shared" si="9"/>
        <v>8.9999999999967883E-4</v>
      </c>
      <c r="W5" s="61">
        <f t="shared" si="10"/>
        <v>8.4999999999979536E-4</v>
      </c>
      <c r="X5" s="61">
        <f t="shared" si="11"/>
        <v>8.4999999999979536E-4</v>
      </c>
      <c r="Y5" s="61">
        <f t="shared" ref="Y5:Y10" si="16">MIN(Q5:X5)</f>
        <v>7.0000000000014495E-4</v>
      </c>
      <c r="Z5" s="61">
        <f t="shared" ref="Z5:Z10" si="17">MAX(Q5:X5)</f>
        <v>8.9999999999967883E-4</v>
      </c>
      <c r="AA5" s="61">
        <f t="shared" ref="AA5:AA10" si="18">MODE(Q5:X5)</f>
        <v>8.4999999999979536E-4</v>
      </c>
      <c r="AB5" s="61">
        <f t="shared" ref="AB5:AB11" si="19">Y5-AA5</f>
        <v>-1.4999999999965041E-4</v>
      </c>
      <c r="AC5" s="61">
        <f t="shared" ref="AC5:AC11" si="20">Z5-AA5</f>
        <v>4.9999999999883471E-5</v>
      </c>
    </row>
    <row r="6" spans="1:29" s="9" customFormat="1" ht="15" customHeight="1" x14ac:dyDescent="0.25">
      <c r="A6" s="61">
        <v>45</v>
      </c>
      <c r="C6" s="61">
        <v>2.0481500000000001</v>
      </c>
      <c r="D6" s="61">
        <v>2.048</v>
      </c>
      <c r="E6" s="61">
        <v>2.0484</v>
      </c>
      <c r="F6" s="61">
        <v>2.0481500000000001</v>
      </c>
      <c r="G6" s="61">
        <v>2.0482999999999998</v>
      </c>
      <c r="H6" s="61">
        <v>2.0480499999999999</v>
      </c>
      <c r="I6" s="61">
        <v>2.0483500000000001</v>
      </c>
      <c r="J6" s="61">
        <v>2.0482999999999998</v>
      </c>
      <c r="K6" s="61">
        <f t="shared" si="0"/>
        <v>2.048</v>
      </c>
      <c r="L6" s="61">
        <f t="shared" si="1"/>
        <v>2.0484</v>
      </c>
      <c r="M6" s="61">
        <f>MODE(C6:J6)</f>
        <v>2.0481500000000001</v>
      </c>
      <c r="N6" s="61">
        <f t="shared" si="2"/>
        <v>-1.500000000000945E-4</v>
      </c>
      <c r="O6" s="61">
        <f t="shared" si="3"/>
        <v>2.4999999999986144E-4</v>
      </c>
      <c r="P6" s="61"/>
      <c r="Q6" s="61">
        <f t="shared" si="4"/>
        <v>3.00000000000189E-4</v>
      </c>
      <c r="R6" s="61">
        <f t="shared" si="5"/>
        <v>1.0000000000021103E-4</v>
      </c>
      <c r="S6" s="61">
        <f t="shared" si="6"/>
        <v>4.4999999999983942E-4</v>
      </c>
      <c r="T6" s="61">
        <f t="shared" si="7"/>
        <v>1.9999999999997797E-4</v>
      </c>
      <c r="U6" s="61">
        <f t="shared" si="8"/>
        <v>2.9999999999974492E-4</v>
      </c>
      <c r="V6" s="61">
        <f t="shared" si="9"/>
        <v>9.9999999999766942E-5</v>
      </c>
      <c r="W6" s="61">
        <f t="shared" si="10"/>
        <v>3.5000000000007248E-4</v>
      </c>
      <c r="X6" s="61">
        <f t="shared" si="11"/>
        <v>2.9999999999974492E-4</v>
      </c>
      <c r="Y6" s="61">
        <f t="shared" si="16"/>
        <v>9.9999999999766942E-5</v>
      </c>
      <c r="Z6" s="61">
        <f t="shared" si="17"/>
        <v>4.4999999999983942E-4</v>
      </c>
      <c r="AA6" s="61">
        <f t="shared" si="18"/>
        <v>2.9999999999974492E-4</v>
      </c>
      <c r="AB6" s="61">
        <f t="shared" si="19"/>
        <v>-1.9999999999997797E-4</v>
      </c>
      <c r="AC6" s="61">
        <f t="shared" si="20"/>
        <v>1.500000000000945E-4</v>
      </c>
    </row>
    <row r="7" spans="1:29" s="9" customFormat="1" ht="15" customHeight="1" x14ac:dyDescent="0.25">
      <c r="A7" s="61">
        <v>90</v>
      </c>
      <c r="C7" s="61">
        <v>2.0478499999999999</v>
      </c>
      <c r="D7" s="61">
        <v>2.0478999999999998</v>
      </c>
      <c r="E7" s="61">
        <v>2.0479500000000002</v>
      </c>
      <c r="F7" s="61">
        <v>2.0479500000000002</v>
      </c>
      <c r="G7" s="61">
        <v>2.048</v>
      </c>
      <c r="H7" s="61">
        <v>2.0479500000000002</v>
      </c>
      <c r="I7" s="61">
        <v>2.048</v>
      </c>
      <c r="J7" s="61">
        <v>2.048</v>
      </c>
      <c r="K7" s="61">
        <f t="shared" si="0"/>
        <v>2.0478499999999999</v>
      </c>
      <c r="L7" s="61">
        <f t="shared" si="1"/>
        <v>2.048</v>
      </c>
      <c r="M7" s="61">
        <f>MODE(C7:J7)</f>
        <v>2.0479500000000002</v>
      </c>
      <c r="N7" s="61">
        <f t="shared" si="2"/>
        <v>-1.0000000000021103E-4</v>
      </c>
      <c r="O7" s="61">
        <f t="shared" si="3"/>
        <v>4.9999999999883471E-5</v>
      </c>
      <c r="P7" s="61"/>
      <c r="Q7" s="61">
        <f>C7-C$7</f>
        <v>0</v>
      </c>
      <c r="R7" s="61">
        <f t="shared" si="5"/>
        <v>0</v>
      </c>
      <c r="S7" s="61">
        <f t="shared" si="6"/>
        <v>0</v>
      </c>
      <c r="T7" s="61">
        <f t="shared" si="7"/>
        <v>0</v>
      </c>
      <c r="U7" s="61">
        <f t="shared" si="8"/>
        <v>0</v>
      </c>
      <c r="V7" s="61">
        <f t="shared" si="9"/>
        <v>0</v>
      </c>
      <c r="W7" s="61">
        <f t="shared" si="10"/>
        <v>0</v>
      </c>
      <c r="X7" s="61">
        <f t="shared" si="11"/>
        <v>0</v>
      </c>
      <c r="Y7" s="61">
        <f t="shared" si="16"/>
        <v>0</v>
      </c>
      <c r="Z7" s="61">
        <f t="shared" si="17"/>
        <v>0</v>
      </c>
      <c r="AA7" s="61">
        <f t="shared" si="18"/>
        <v>0</v>
      </c>
      <c r="AB7" s="61">
        <f t="shared" si="19"/>
        <v>0</v>
      </c>
      <c r="AC7" s="61">
        <f t="shared" si="20"/>
        <v>0</v>
      </c>
    </row>
    <row r="8" spans="1:29" s="9" customFormat="1" ht="15" customHeight="1" x14ac:dyDescent="0.25">
      <c r="A8" s="61">
        <v>135</v>
      </c>
      <c r="C8" s="61">
        <v>2.048</v>
      </c>
      <c r="D8" s="61">
        <v>2.0482</v>
      </c>
      <c r="E8" s="61">
        <v>2.0482</v>
      </c>
      <c r="F8" s="61">
        <v>2.0484</v>
      </c>
      <c r="G8" s="61">
        <v>2.0482</v>
      </c>
      <c r="H8" s="61">
        <v>2.0480999999999998</v>
      </c>
      <c r="I8" s="61">
        <v>2.0484</v>
      </c>
      <c r="J8" s="61">
        <v>2.0482</v>
      </c>
      <c r="K8" s="61">
        <f t="shared" si="0"/>
        <v>2.048</v>
      </c>
      <c r="L8" s="61">
        <f t="shared" si="1"/>
        <v>2.0484</v>
      </c>
      <c r="M8" s="61">
        <f>MODE(C8:J8)</f>
        <v>2.0482</v>
      </c>
      <c r="N8" s="61">
        <f t="shared" si="2"/>
        <v>-1.9999999999997797E-4</v>
      </c>
      <c r="O8" s="61">
        <f t="shared" si="3"/>
        <v>1.9999999999997797E-4</v>
      </c>
      <c r="P8" s="61"/>
      <c r="Q8" s="61">
        <f t="shared" si="4"/>
        <v>1.500000000000945E-4</v>
      </c>
      <c r="R8" s="61">
        <f t="shared" si="5"/>
        <v>3.00000000000189E-4</v>
      </c>
      <c r="S8" s="61">
        <f t="shared" si="6"/>
        <v>2.4999999999986144E-4</v>
      </c>
      <c r="T8" s="61">
        <f t="shared" si="7"/>
        <v>4.4999999999983942E-4</v>
      </c>
      <c r="U8" s="61">
        <f t="shared" si="8"/>
        <v>1.9999999999997797E-4</v>
      </c>
      <c r="V8" s="61">
        <f t="shared" si="9"/>
        <v>1.4999999999965041E-4</v>
      </c>
      <c r="W8" s="61">
        <f t="shared" si="10"/>
        <v>3.9999999999995595E-4</v>
      </c>
      <c r="X8" s="61">
        <f t="shared" si="11"/>
        <v>1.9999999999997797E-4</v>
      </c>
      <c r="Y8" s="61">
        <f t="shared" si="16"/>
        <v>1.4999999999965041E-4</v>
      </c>
      <c r="Z8" s="61">
        <f t="shared" si="17"/>
        <v>4.4999999999983942E-4</v>
      </c>
      <c r="AA8" s="61">
        <f t="shared" si="18"/>
        <v>1.9999999999997797E-4</v>
      </c>
      <c r="AB8" s="61">
        <f t="shared" si="19"/>
        <v>-5.000000000032756E-5</v>
      </c>
      <c r="AC8" s="61">
        <f t="shared" si="20"/>
        <v>2.4999999999986144E-4</v>
      </c>
    </row>
    <row r="9" spans="1:29" s="9" customFormat="1" ht="15" customHeight="1" x14ac:dyDescent="0.25">
      <c r="A9" s="61">
        <v>160.25</v>
      </c>
      <c r="C9" s="61">
        <v>2.0486</v>
      </c>
      <c r="D9" s="61">
        <v>2.0486</v>
      </c>
      <c r="E9" s="61">
        <v>2.0488</v>
      </c>
      <c r="F9" s="61">
        <v>2.0487000000000002</v>
      </c>
      <c r="G9" s="61">
        <v>2.0488499999999998</v>
      </c>
      <c r="H9" s="61">
        <v>2.0488</v>
      </c>
      <c r="I9" s="61">
        <v>2.0487000000000002</v>
      </c>
      <c r="J9" s="61">
        <v>2.0488499999999998</v>
      </c>
      <c r="K9" s="61">
        <f t="shared" si="0"/>
        <v>2.0486</v>
      </c>
      <c r="L9" s="61">
        <f t="shared" si="1"/>
        <v>2.0488499999999998</v>
      </c>
      <c r="M9" s="61">
        <f>MODE(C9:J9)</f>
        <v>2.0486</v>
      </c>
      <c r="N9" s="61">
        <f t="shared" si="2"/>
        <v>0</v>
      </c>
      <c r="O9" s="61">
        <f t="shared" si="3"/>
        <v>2.4999999999986144E-4</v>
      </c>
      <c r="P9" s="61"/>
      <c r="Q9" s="61">
        <f t="shared" si="4"/>
        <v>7.5000000000002842E-4</v>
      </c>
      <c r="R9" s="61">
        <f t="shared" si="5"/>
        <v>7.0000000000014495E-4</v>
      </c>
      <c r="S9" s="61">
        <f t="shared" si="6"/>
        <v>8.4999999999979536E-4</v>
      </c>
      <c r="T9" s="61">
        <f t="shared" si="7"/>
        <v>7.5000000000002842E-4</v>
      </c>
      <c r="U9" s="61">
        <f t="shared" si="8"/>
        <v>8.4999999999979536E-4</v>
      </c>
      <c r="V9" s="61">
        <f t="shared" si="9"/>
        <v>8.4999999999979536E-4</v>
      </c>
      <c r="W9" s="61">
        <f t="shared" si="10"/>
        <v>7.0000000000014495E-4</v>
      </c>
      <c r="X9" s="61">
        <f t="shared" si="11"/>
        <v>8.4999999999979536E-4</v>
      </c>
      <c r="Y9" s="61">
        <f t="shared" si="16"/>
        <v>7.0000000000014495E-4</v>
      </c>
      <c r="Z9" s="61">
        <f t="shared" si="17"/>
        <v>8.4999999999979536E-4</v>
      </c>
      <c r="AA9" s="61">
        <f t="shared" si="18"/>
        <v>8.4999999999979536E-4</v>
      </c>
      <c r="AB9" s="61">
        <f t="shared" si="19"/>
        <v>-1.4999999999965041E-4</v>
      </c>
      <c r="AC9" s="61">
        <f t="shared" si="20"/>
        <v>0</v>
      </c>
    </row>
    <row r="10" spans="1:29" s="9" customFormat="1" ht="15" customHeight="1" x14ac:dyDescent="0.25">
      <c r="A10" s="61">
        <v>175</v>
      </c>
      <c r="C10" s="61">
        <v>2.0506000000000002</v>
      </c>
      <c r="D10" s="61">
        <v>2.0510000000000002</v>
      </c>
      <c r="E10" s="61">
        <v>2.0503499999999999</v>
      </c>
      <c r="F10" s="61">
        <v>2.0506000000000002</v>
      </c>
      <c r="G10" s="61">
        <v>2.0505499999999999</v>
      </c>
      <c r="H10" s="61">
        <v>2.0501499999999999</v>
      </c>
      <c r="I10" s="61">
        <v>2.0505</v>
      </c>
      <c r="J10" s="61">
        <v>2.0505499999999999</v>
      </c>
      <c r="K10" s="61">
        <f t="shared" si="0"/>
        <v>2.0501499999999999</v>
      </c>
      <c r="L10" s="61">
        <f t="shared" si="1"/>
        <v>2.0510000000000002</v>
      </c>
      <c r="M10" s="61">
        <f>MODE(C10:J10)</f>
        <v>2.0506000000000002</v>
      </c>
      <c r="N10" s="61">
        <f t="shared" si="2"/>
        <v>-4.5000000000028351E-4</v>
      </c>
      <c r="O10" s="61">
        <f t="shared" si="3"/>
        <v>3.9999999999995595E-4</v>
      </c>
      <c r="P10" s="61"/>
      <c r="Q10" s="61">
        <f t="shared" si="4"/>
        <v>2.7500000000002522E-3</v>
      </c>
      <c r="R10" s="61">
        <f t="shared" si="5"/>
        <v>3.1000000000003247E-3</v>
      </c>
      <c r="S10" s="61">
        <f t="shared" si="6"/>
        <v>2.3999999999997357E-3</v>
      </c>
      <c r="T10" s="61">
        <f t="shared" si="7"/>
        <v>2.6500000000000412E-3</v>
      </c>
      <c r="U10" s="61">
        <f t="shared" si="8"/>
        <v>2.5499999999998302E-3</v>
      </c>
      <c r="V10" s="61">
        <f t="shared" si="9"/>
        <v>2.1999999999997577E-3</v>
      </c>
      <c r="W10" s="61">
        <f t="shared" si="10"/>
        <v>2.4999999999999467E-3</v>
      </c>
      <c r="X10" s="61">
        <f t="shared" si="11"/>
        <v>2.5499999999998302E-3</v>
      </c>
      <c r="Y10" s="61">
        <f t="shared" si="16"/>
        <v>2.1999999999997577E-3</v>
      </c>
      <c r="Z10" s="61">
        <f t="shared" si="17"/>
        <v>3.1000000000003247E-3</v>
      </c>
      <c r="AA10" s="61">
        <f t="shared" si="18"/>
        <v>2.5499999999998302E-3</v>
      </c>
      <c r="AB10" s="61">
        <f t="shared" si="19"/>
        <v>-3.5000000000007248E-4</v>
      </c>
      <c r="AC10" s="61">
        <f t="shared" si="20"/>
        <v>5.5000000000049454E-4</v>
      </c>
    </row>
    <row r="11" spans="1:29" s="9" customFormat="1" ht="15" customHeight="1" x14ac:dyDescent="0.25">
      <c r="A11" s="61" t="s">
        <v>310</v>
      </c>
      <c r="B11" s="9" t="s">
        <v>268</v>
      </c>
      <c r="C11" s="61">
        <v>7.8899999999999998E-2</v>
      </c>
      <c r="D11" s="61">
        <v>7.8850000000000003E-2</v>
      </c>
      <c r="E11" s="61">
        <v>7.8899999999999998E-2</v>
      </c>
      <c r="F11" s="61">
        <v>7.8850000000000003E-2</v>
      </c>
      <c r="G11" s="61">
        <v>7.8850000000000003E-2</v>
      </c>
      <c r="H11" s="61">
        <v>7.8850000000000003E-2</v>
      </c>
      <c r="I11" s="61">
        <v>7.8850000000000003E-2</v>
      </c>
      <c r="J11" s="61">
        <v>7.8799999999999995E-2</v>
      </c>
      <c r="K11" s="61">
        <f t="shared" ref="K11:K12" si="21">MIN(C11:J11)</f>
        <v>7.8799999999999995E-2</v>
      </c>
      <c r="L11" s="61">
        <f t="shared" ref="L11:L12" si="22">MAX(C11:J11)</f>
        <v>7.8899999999999998E-2</v>
      </c>
      <c r="M11" s="61">
        <f t="shared" ref="M11:M12" si="23">MODE(C11:J11)</f>
        <v>7.8850000000000003E-2</v>
      </c>
      <c r="N11" s="61">
        <f t="shared" ref="N11:N12" si="24">K11-M11</f>
        <v>-5.0000000000008371E-5</v>
      </c>
      <c r="O11" s="61">
        <f t="shared" ref="O11:O12" si="25">L11-M11</f>
        <v>4.9999999999994493E-5</v>
      </c>
      <c r="P11" s="61"/>
      <c r="Y11" s="61">
        <f>MIN(Q5:X5,Q9:X9)</f>
        <v>7.0000000000014495E-4</v>
      </c>
      <c r="Z11" s="61">
        <f>MAX(Q5:X5,Q9:X9)</f>
        <v>8.9999999999967883E-4</v>
      </c>
      <c r="AA11" s="61">
        <f>MODE(Q5:X5,Q9:X9)</f>
        <v>8.4999999999979536E-4</v>
      </c>
      <c r="AB11" s="61">
        <f t="shared" si="19"/>
        <v>-1.4999999999965041E-4</v>
      </c>
      <c r="AC11" s="61">
        <f t="shared" si="20"/>
        <v>4.9999999999883471E-5</v>
      </c>
    </row>
    <row r="12" spans="1:29" s="9" customFormat="1" ht="15" customHeight="1" x14ac:dyDescent="0.25">
      <c r="A12" s="61" t="s">
        <v>310</v>
      </c>
      <c r="B12" s="9" t="s">
        <v>269</v>
      </c>
      <c r="C12" s="61">
        <v>7.8750000000000001E-2</v>
      </c>
      <c r="D12" s="61">
        <v>7.8799999999999995E-2</v>
      </c>
      <c r="E12" s="61">
        <v>7.8600000000000003E-2</v>
      </c>
      <c r="F12" s="61">
        <v>7.8600000000000003E-2</v>
      </c>
      <c r="G12" s="61">
        <v>7.8649999999999998E-2</v>
      </c>
      <c r="H12" s="61">
        <v>7.8649999999999998E-2</v>
      </c>
      <c r="I12" s="61">
        <v>7.8649999999999998E-2</v>
      </c>
      <c r="J12" s="61">
        <v>7.8649999999999998E-2</v>
      </c>
      <c r="K12" s="61">
        <f t="shared" si="21"/>
        <v>7.8600000000000003E-2</v>
      </c>
      <c r="L12" s="61">
        <f t="shared" si="22"/>
        <v>7.8799999999999995E-2</v>
      </c>
      <c r="M12" s="61">
        <f t="shared" si="23"/>
        <v>7.8649999999999998E-2</v>
      </c>
      <c r="N12" s="61">
        <f t="shared" si="24"/>
        <v>-4.9999999999994493E-5</v>
      </c>
      <c r="O12" s="61">
        <f t="shared" si="25"/>
        <v>1.4999999999999736E-4</v>
      </c>
      <c r="P12" s="61"/>
    </row>
    <row r="13" spans="1:29" s="9" customFormat="1" ht="15" customHeight="1" x14ac:dyDescent="0.25">
      <c r="A13" s="61" t="s">
        <v>274</v>
      </c>
      <c r="C13" s="61">
        <f>C7-'Rod Journals'!$M$2</f>
        <v>1.3499999999999623E-3</v>
      </c>
      <c r="D13" s="61">
        <f>D7-'Rod Journals'!$M$2</f>
        <v>1.3999999999998458E-3</v>
      </c>
      <c r="E13" s="61">
        <f>E7-'Rod Journals'!$M$2</f>
        <v>1.4500000000001734E-3</v>
      </c>
      <c r="F13" s="61">
        <f>F7-'Rod Journals'!$M$2</f>
        <v>1.4500000000001734E-3</v>
      </c>
      <c r="G13" s="61">
        <f>G7-'Rod Journals'!$M$2</f>
        <v>1.5000000000000568E-3</v>
      </c>
      <c r="H13" s="61">
        <f>H7-'Rod Journals'!$M$2</f>
        <v>1.4500000000001734E-3</v>
      </c>
      <c r="I13" s="61">
        <f>I7-'Rod Journals'!$M$2</f>
        <v>1.5000000000000568E-3</v>
      </c>
      <c r="J13" s="61">
        <f>J7-'Rod Journals'!$M$2</f>
        <v>1.5000000000000568E-3</v>
      </c>
      <c r="K13" s="61">
        <f t="shared" si="0"/>
        <v>1.3499999999999623E-3</v>
      </c>
      <c r="L13" s="61">
        <f t="shared" si="1"/>
        <v>1.5000000000000568E-3</v>
      </c>
      <c r="M13" s="61">
        <f t="shared" ref="M13" si="26">MODE(C13:J13)</f>
        <v>1.4500000000001734E-3</v>
      </c>
      <c r="N13" s="61">
        <f t="shared" ref="N13" si="27">K13-M13</f>
        <v>-1.0000000000021103E-4</v>
      </c>
      <c r="O13" s="61">
        <f t="shared" ref="O13" si="28">L13-M13</f>
        <v>4.9999999999883471E-5</v>
      </c>
      <c r="P13" s="61"/>
    </row>
    <row r="14" spans="1:29" s="9" customFormat="1" ht="15" customHeight="1" x14ac:dyDescent="0.25">
      <c r="A14" s="61" t="s">
        <v>275</v>
      </c>
      <c r="C14" s="61">
        <f>C7-'Rod Journals'!$L$2</f>
        <v>1.0499999999997733E-3</v>
      </c>
      <c r="D14" s="61">
        <f>D7-'Rod Journals'!$L$2</f>
        <v>1.0999999999996568E-3</v>
      </c>
      <c r="E14" s="61">
        <f>E7-'Rod Journals'!$L$2</f>
        <v>1.1499999999999844E-3</v>
      </c>
      <c r="F14" s="61">
        <f>F7-'Rod Journals'!$L$2</f>
        <v>1.1499999999999844E-3</v>
      </c>
      <c r="G14" s="61">
        <f>G7-'Rod Journals'!$L$2</f>
        <v>1.1999999999998678E-3</v>
      </c>
      <c r="H14" s="61">
        <f>H7-'Rod Journals'!$L$2</f>
        <v>1.1499999999999844E-3</v>
      </c>
      <c r="I14" s="61">
        <f>I7-'Rod Journals'!$L$2</f>
        <v>1.1999999999998678E-3</v>
      </c>
      <c r="J14" s="61">
        <f>J7-'Rod Journals'!$L$2</f>
        <v>1.1999999999998678E-3</v>
      </c>
      <c r="K14" s="61">
        <f>MIN(C14:J14)</f>
        <v>1.0499999999997733E-3</v>
      </c>
      <c r="L14" s="61"/>
      <c r="M14" s="61"/>
      <c r="N14" s="61"/>
      <c r="O14" s="61"/>
    </row>
    <row r="15" spans="1:29" s="9" customFormat="1" ht="15" customHeight="1" x14ac:dyDescent="0.25">
      <c r="A15" s="61" t="s">
        <v>276</v>
      </c>
      <c r="C15" s="61">
        <f>C7-'Rod Journals'!$K$2</f>
        <v>1.4499999999997293E-3</v>
      </c>
      <c r="D15" s="61">
        <f>D7-'Rod Journals'!$K$2</f>
        <v>1.4999999999996128E-3</v>
      </c>
      <c r="E15" s="61">
        <f>E7-'Rod Journals'!$K$2</f>
        <v>1.5499999999999403E-3</v>
      </c>
      <c r="F15" s="61">
        <f>F7-'Rod Journals'!$K$2</f>
        <v>1.5499999999999403E-3</v>
      </c>
      <c r="G15" s="61">
        <f>G7-'Rod Journals'!$K$2</f>
        <v>1.5999999999998238E-3</v>
      </c>
      <c r="H15" s="61">
        <f>H7-'Rod Journals'!$K$2</f>
        <v>1.5499999999999403E-3</v>
      </c>
      <c r="I15" s="61">
        <f>I7-'Rod Journals'!$K$2</f>
        <v>1.5999999999998238E-3</v>
      </c>
      <c r="J15" s="61">
        <f>J7-'Rod Journals'!$K$2</f>
        <v>1.5999999999998238E-3</v>
      </c>
      <c r="K15" s="61"/>
      <c r="L15" s="61">
        <f>MAX(C15:J15)</f>
        <v>1.5999999999998238E-3</v>
      </c>
      <c r="M15" s="61"/>
      <c r="N15" s="61"/>
      <c r="O15" s="61"/>
    </row>
  </sheetData>
  <mergeCells count="1">
    <mergeCell ref="Q2:X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C15"/>
  <sheetViews>
    <sheetView topLeftCell="B1" workbookViewId="0">
      <selection activeCell="B1" sqref="A1:XFD1048576"/>
    </sheetView>
  </sheetViews>
  <sheetFormatPr defaultRowHeight="15" x14ac:dyDescent="0.25"/>
  <cols>
    <col min="1" max="1" width="14" style="61" bestFit="1" customWidth="1"/>
    <col min="2" max="2" width="9.140625" style="9"/>
    <col min="3" max="15" width="9.140625" style="61"/>
    <col min="16" max="16384" width="9.140625" style="9"/>
  </cols>
  <sheetData>
    <row r="1" spans="1:29" ht="15" customHeight="1" x14ac:dyDescent="0.25">
      <c r="A1" s="61" t="s">
        <v>270</v>
      </c>
      <c r="B1" s="9" t="s">
        <v>271</v>
      </c>
    </row>
    <row r="2" spans="1:29" ht="15" customHeight="1" x14ac:dyDescent="0.25">
      <c r="B2" s="9" t="s">
        <v>272</v>
      </c>
      <c r="C2" s="61">
        <v>76.599999999999994</v>
      </c>
      <c r="D2" s="61">
        <v>76.599999999999994</v>
      </c>
      <c r="E2" s="61">
        <v>76.5</v>
      </c>
      <c r="F2" s="61">
        <v>76.5</v>
      </c>
      <c r="G2" s="61">
        <v>76.400000000000006</v>
      </c>
      <c r="H2" s="61">
        <v>76.400000000000006</v>
      </c>
      <c r="I2" s="61">
        <v>76.3</v>
      </c>
      <c r="J2" s="61">
        <v>76.599999999999994</v>
      </c>
      <c r="Q2" s="73" t="s">
        <v>311</v>
      </c>
      <c r="R2" s="73"/>
      <c r="S2" s="73"/>
      <c r="T2" s="73"/>
      <c r="U2" s="73"/>
      <c r="V2" s="73"/>
      <c r="W2" s="73"/>
      <c r="X2" s="73"/>
    </row>
    <row r="3" spans="1:29" ht="15" customHeight="1" x14ac:dyDescent="0.25">
      <c r="B3" s="9" t="s">
        <v>273</v>
      </c>
      <c r="C3" s="61">
        <v>71.599999999999994</v>
      </c>
      <c r="D3" s="61">
        <v>71.2</v>
      </c>
      <c r="E3" s="61">
        <v>71.599999999999994</v>
      </c>
      <c r="F3" s="61">
        <v>71.599999999999994</v>
      </c>
      <c r="G3" s="61">
        <v>71.7</v>
      </c>
      <c r="H3" s="61">
        <v>72.099999999999994</v>
      </c>
      <c r="I3" s="61">
        <v>71.900000000000006</v>
      </c>
      <c r="J3" s="61">
        <v>72.5</v>
      </c>
      <c r="Q3" s="71" t="s">
        <v>205</v>
      </c>
      <c r="R3" s="71" t="s">
        <v>206</v>
      </c>
      <c r="S3" s="71" t="s">
        <v>207</v>
      </c>
      <c r="T3" s="71" t="s">
        <v>208</v>
      </c>
      <c r="U3" s="71" t="s">
        <v>209</v>
      </c>
      <c r="V3" s="71" t="s">
        <v>210</v>
      </c>
      <c r="W3" s="71" t="s">
        <v>211</v>
      </c>
      <c r="X3" s="71" t="s">
        <v>212</v>
      </c>
      <c r="Y3" s="56" t="s">
        <v>226</v>
      </c>
      <c r="Z3" s="56" t="s">
        <v>213</v>
      </c>
      <c r="AA3" s="56" t="s">
        <v>214</v>
      </c>
      <c r="AB3" s="56" t="s">
        <v>215</v>
      </c>
      <c r="AC3" s="56" t="s">
        <v>216</v>
      </c>
    </row>
    <row r="4" spans="1:29" ht="15" customHeight="1" x14ac:dyDescent="0.25">
      <c r="A4" s="61">
        <v>5</v>
      </c>
      <c r="C4" s="61">
        <v>2.0528</v>
      </c>
      <c r="D4" s="61">
        <v>2.0529000000000002</v>
      </c>
      <c r="E4" s="61">
        <v>2.0529000000000002</v>
      </c>
      <c r="F4" s="61">
        <v>2.0528</v>
      </c>
      <c r="G4" s="61">
        <v>2.0525000000000002</v>
      </c>
      <c r="H4" s="61">
        <v>2.0526</v>
      </c>
      <c r="I4" s="61">
        <v>2.0527000000000002</v>
      </c>
      <c r="J4" s="61">
        <v>2.0529000000000002</v>
      </c>
      <c r="K4" s="61">
        <f t="shared" ref="K4:K14" si="0">MIN(C4:J4)</f>
        <v>2.0525000000000002</v>
      </c>
      <c r="L4" s="61">
        <f t="shared" ref="L4:L13" si="1">MAX(C4:J4)</f>
        <v>2.0529000000000002</v>
      </c>
      <c r="M4" s="61">
        <f>MODE(C4:J4)</f>
        <v>2.0529000000000002</v>
      </c>
      <c r="N4" s="61">
        <f t="shared" ref="N4:N10" si="2">K4-M4</f>
        <v>-3.9999999999995595E-4</v>
      </c>
      <c r="O4" s="61">
        <f t="shared" ref="O4:O10" si="3">L4-M4</f>
        <v>0</v>
      </c>
      <c r="Q4" s="61">
        <f t="shared" ref="Q4:X10" si="4">C4-C$7</f>
        <v>4.5000000000001705E-3</v>
      </c>
      <c r="R4" s="61">
        <f t="shared" si="4"/>
        <v>4.750000000000032E-3</v>
      </c>
      <c r="S4" s="61">
        <f t="shared" si="4"/>
        <v>4.5000000000001705E-3</v>
      </c>
      <c r="T4" s="61">
        <f t="shared" si="4"/>
        <v>4.5999999999999375E-3</v>
      </c>
      <c r="U4" s="61">
        <f t="shared" si="4"/>
        <v>4.1500000000000981E-3</v>
      </c>
      <c r="V4" s="61">
        <f t="shared" si="4"/>
        <v>4.3000000000001926E-3</v>
      </c>
      <c r="W4" s="61">
        <f t="shared" si="4"/>
        <v>4.5000000000001705E-3</v>
      </c>
      <c r="X4" s="61">
        <f t="shared" si="4"/>
        <v>4.7000000000001485E-3</v>
      </c>
      <c r="Y4" s="61">
        <f t="shared" ref="Y4:Y10" si="5">MIN(Q4:X4)</f>
        <v>4.1500000000000981E-3</v>
      </c>
      <c r="Z4" s="61">
        <f t="shared" ref="Z4:Z10" si="6">MAX(Q4:X4)</f>
        <v>4.750000000000032E-3</v>
      </c>
      <c r="AA4" s="61">
        <f>MODE(Q4:X4)</f>
        <v>4.5000000000001705E-3</v>
      </c>
      <c r="AB4" s="61">
        <f t="shared" ref="AB4:AB11" si="7">Y4-AA4</f>
        <v>-3.5000000000007248E-4</v>
      </c>
      <c r="AC4" s="61">
        <f t="shared" ref="AC4:AC11" si="8">Z4-AA4</f>
        <v>2.4999999999986144E-4</v>
      </c>
    </row>
    <row r="5" spans="1:29" ht="15" customHeight="1" x14ac:dyDescent="0.25">
      <c r="A5" s="61">
        <v>19.75</v>
      </c>
      <c r="C5" s="61">
        <v>2.0504500000000001</v>
      </c>
      <c r="D5" s="61">
        <v>2.0503499999999999</v>
      </c>
      <c r="E5" s="61">
        <v>2.0503499999999999</v>
      </c>
      <c r="F5" s="61">
        <v>2.0501999999999998</v>
      </c>
      <c r="G5" s="61">
        <v>2.0501</v>
      </c>
      <c r="H5" s="61">
        <v>2.0501999999999998</v>
      </c>
      <c r="I5" s="61">
        <v>2.0503499999999999</v>
      </c>
      <c r="J5" s="61">
        <v>2.0503499999999999</v>
      </c>
      <c r="K5" s="61">
        <f t="shared" si="0"/>
        <v>2.0501</v>
      </c>
      <c r="L5" s="61">
        <f t="shared" si="1"/>
        <v>2.0504500000000001</v>
      </c>
      <c r="M5" s="61">
        <f t="shared" ref="M5:M10" si="9">MODE(C5:J5)</f>
        <v>2.0503499999999999</v>
      </c>
      <c r="N5" s="61">
        <f t="shared" si="2"/>
        <v>-2.4999999999986144E-4</v>
      </c>
      <c r="O5" s="61">
        <f t="shared" si="3"/>
        <v>1.0000000000021103E-4</v>
      </c>
      <c r="Q5" s="61">
        <f t="shared" si="4"/>
        <v>2.1500000000003183E-3</v>
      </c>
      <c r="R5" s="61">
        <f t="shared" si="4"/>
        <v>2.1999999999997577E-3</v>
      </c>
      <c r="S5" s="61">
        <f t="shared" si="4"/>
        <v>1.9499999999998963E-3</v>
      </c>
      <c r="T5" s="61">
        <f t="shared" si="4"/>
        <v>1.9999999999997797E-3</v>
      </c>
      <c r="U5" s="61">
        <f t="shared" si="4"/>
        <v>1.7499999999999183E-3</v>
      </c>
      <c r="V5" s="61">
        <f t="shared" si="4"/>
        <v>1.9000000000000128E-3</v>
      </c>
      <c r="W5" s="61">
        <f t="shared" si="4"/>
        <v>2.1499999999998742E-3</v>
      </c>
      <c r="X5" s="61">
        <f t="shared" si="4"/>
        <v>2.1499999999998742E-3</v>
      </c>
      <c r="Y5" s="61">
        <f t="shared" si="5"/>
        <v>1.7499999999999183E-3</v>
      </c>
      <c r="Z5" s="61">
        <f t="shared" si="6"/>
        <v>2.1999999999997577E-3</v>
      </c>
      <c r="AA5" s="61">
        <f t="shared" ref="AA5:AA10" si="10">MODE(Q5:X5)</f>
        <v>2.1499999999998742E-3</v>
      </c>
      <c r="AB5" s="61">
        <f t="shared" si="7"/>
        <v>-3.9999999999995595E-4</v>
      </c>
      <c r="AC5" s="61">
        <f t="shared" si="8"/>
        <v>4.9999999999883471E-5</v>
      </c>
    </row>
    <row r="6" spans="1:29" ht="15" customHeight="1" x14ac:dyDescent="0.25">
      <c r="A6" s="61">
        <v>45</v>
      </c>
      <c r="C6" s="61">
        <v>2.0489999999999999</v>
      </c>
      <c r="D6" s="61">
        <v>2.0488</v>
      </c>
      <c r="E6" s="61">
        <v>2.0488</v>
      </c>
      <c r="F6" s="61">
        <v>2.0491999999999999</v>
      </c>
      <c r="G6" s="61">
        <v>2.0487000000000002</v>
      </c>
      <c r="H6" s="61">
        <v>2.0489000000000002</v>
      </c>
      <c r="I6" s="61">
        <v>2.0488</v>
      </c>
      <c r="J6" s="61">
        <v>2.0489000000000002</v>
      </c>
      <c r="K6" s="61">
        <f t="shared" si="0"/>
        <v>2.0487000000000002</v>
      </c>
      <c r="L6" s="61">
        <f t="shared" si="1"/>
        <v>2.0491999999999999</v>
      </c>
      <c r="M6" s="61">
        <f t="shared" si="9"/>
        <v>2.0488</v>
      </c>
      <c r="N6" s="61">
        <f t="shared" si="2"/>
        <v>-9.9999999999766942E-5</v>
      </c>
      <c r="O6" s="61">
        <f t="shared" si="3"/>
        <v>3.9999999999995595E-4</v>
      </c>
      <c r="Q6" s="61">
        <f t="shared" si="4"/>
        <v>7.0000000000014495E-4</v>
      </c>
      <c r="R6" s="61">
        <f t="shared" si="4"/>
        <v>6.4999999999981739E-4</v>
      </c>
      <c r="S6" s="61">
        <f t="shared" si="4"/>
        <v>3.9999999999995595E-4</v>
      </c>
      <c r="T6" s="61">
        <f t="shared" si="4"/>
        <v>9.9999999999988987E-4</v>
      </c>
      <c r="U6" s="61">
        <f t="shared" si="4"/>
        <v>3.5000000000007248E-4</v>
      </c>
      <c r="V6" s="61">
        <f t="shared" si="4"/>
        <v>6.0000000000037801E-4</v>
      </c>
      <c r="W6" s="61">
        <f t="shared" si="4"/>
        <v>5.9999999999993392E-4</v>
      </c>
      <c r="X6" s="61">
        <f t="shared" si="4"/>
        <v>7.0000000000014495E-4</v>
      </c>
      <c r="Y6" s="61">
        <f t="shared" si="5"/>
        <v>3.5000000000007248E-4</v>
      </c>
      <c r="Z6" s="61">
        <f t="shared" si="6"/>
        <v>9.9999999999988987E-4</v>
      </c>
      <c r="AA6" s="61">
        <f t="shared" si="10"/>
        <v>7.0000000000014495E-4</v>
      </c>
      <c r="AB6" s="61">
        <f t="shared" si="7"/>
        <v>-3.5000000000007248E-4</v>
      </c>
      <c r="AC6" s="61">
        <f t="shared" si="8"/>
        <v>2.9999999999974492E-4</v>
      </c>
    </row>
    <row r="7" spans="1:29" ht="15" customHeight="1" x14ac:dyDescent="0.25">
      <c r="A7" s="61">
        <v>90</v>
      </c>
      <c r="C7" s="61">
        <v>2.0482999999999998</v>
      </c>
      <c r="D7" s="61">
        <v>2.0481500000000001</v>
      </c>
      <c r="E7" s="61">
        <v>2.0484</v>
      </c>
      <c r="F7" s="61">
        <v>2.0482</v>
      </c>
      <c r="G7" s="61">
        <v>2.0483500000000001</v>
      </c>
      <c r="H7" s="61">
        <v>2.0482999999999998</v>
      </c>
      <c r="I7" s="61">
        <v>2.0482</v>
      </c>
      <c r="J7" s="61">
        <v>2.0482</v>
      </c>
      <c r="K7" s="61">
        <f t="shared" si="0"/>
        <v>2.0481500000000001</v>
      </c>
      <c r="L7" s="61">
        <f t="shared" si="1"/>
        <v>2.0484</v>
      </c>
      <c r="M7" s="61">
        <f t="shared" si="9"/>
        <v>2.0482</v>
      </c>
      <c r="N7" s="61">
        <f t="shared" si="2"/>
        <v>-4.9999999999883471E-5</v>
      </c>
      <c r="O7" s="61">
        <f t="shared" si="3"/>
        <v>1.9999999999997797E-4</v>
      </c>
      <c r="Q7" s="61">
        <f>C7-C$7</f>
        <v>0</v>
      </c>
      <c r="R7" s="61">
        <f t="shared" si="4"/>
        <v>0</v>
      </c>
      <c r="S7" s="61">
        <f t="shared" si="4"/>
        <v>0</v>
      </c>
      <c r="T7" s="61">
        <f t="shared" si="4"/>
        <v>0</v>
      </c>
      <c r="U7" s="61">
        <f t="shared" si="4"/>
        <v>0</v>
      </c>
      <c r="V7" s="61">
        <f t="shared" si="4"/>
        <v>0</v>
      </c>
      <c r="W7" s="61">
        <f t="shared" si="4"/>
        <v>0</v>
      </c>
      <c r="X7" s="61">
        <f t="shared" si="4"/>
        <v>0</v>
      </c>
      <c r="Y7" s="61">
        <f t="shared" si="5"/>
        <v>0</v>
      </c>
      <c r="Z7" s="61">
        <f t="shared" si="6"/>
        <v>0</v>
      </c>
      <c r="AA7" s="61">
        <f t="shared" si="10"/>
        <v>0</v>
      </c>
      <c r="AB7" s="61">
        <f t="shared" si="7"/>
        <v>0</v>
      </c>
      <c r="AC7" s="61">
        <f t="shared" si="8"/>
        <v>0</v>
      </c>
    </row>
    <row r="8" spans="1:29" ht="15" customHeight="1" x14ac:dyDescent="0.25">
      <c r="A8" s="61">
        <v>135</v>
      </c>
      <c r="C8" s="61">
        <v>2.0489999999999999</v>
      </c>
      <c r="D8" s="61">
        <v>2.0489000000000002</v>
      </c>
      <c r="E8" s="61">
        <v>2.0489999999999999</v>
      </c>
      <c r="F8" s="61">
        <v>2.0488499999999998</v>
      </c>
      <c r="G8" s="61">
        <v>2.0489999999999999</v>
      </c>
      <c r="H8" s="61">
        <v>2.0489000000000002</v>
      </c>
      <c r="I8" s="61">
        <v>2.0489000000000002</v>
      </c>
      <c r="J8" s="61">
        <v>2.0488499999999998</v>
      </c>
      <c r="K8" s="61">
        <f t="shared" si="0"/>
        <v>2.0488499999999998</v>
      </c>
      <c r="L8" s="61">
        <f t="shared" si="1"/>
        <v>2.0489999999999999</v>
      </c>
      <c r="M8" s="61">
        <f t="shared" si="9"/>
        <v>2.0489999999999999</v>
      </c>
      <c r="N8" s="61">
        <f t="shared" si="2"/>
        <v>-1.500000000000945E-4</v>
      </c>
      <c r="O8" s="61">
        <f t="shared" si="3"/>
        <v>0</v>
      </c>
      <c r="Q8" s="61">
        <f t="shared" si="4"/>
        <v>7.0000000000014495E-4</v>
      </c>
      <c r="R8" s="61">
        <f t="shared" si="4"/>
        <v>7.5000000000002842E-4</v>
      </c>
      <c r="S8" s="61">
        <f t="shared" si="4"/>
        <v>5.9999999999993392E-4</v>
      </c>
      <c r="T8" s="61">
        <f t="shared" si="4"/>
        <v>6.4999999999981739E-4</v>
      </c>
      <c r="U8" s="61">
        <f t="shared" si="4"/>
        <v>6.4999999999981739E-4</v>
      </c>
      <c r="V8" s="61">
        <f t="shared" si="4"/>
        <v>6.0000000000037801E-4</v>
      </c>
      <c r="W8" s="61">
        <f t="shared" si="4"/>
        <v>7.0000000000014495E-4</v>
      </c>
      <c r="X8" s="61">
        <f t="shared" si="4"/>
        <v>6.4999999999981739E-4</v>
      </c>
      <c r="Y8" s="61">
        <f t="shared" si="5"/>
        <v>5.9999999999993392E-4</v>
      </c>
      <c r="Z8" s="61">
        <f t="shared" si="6"/>
        <v>7.5000000000002842E-4</v>
      </c>
      <c r="AA8" s="61">
        <f t="shared" si="10"/>
        <v>6.4999999999981739E-4</v>
      </c>
      <c r="AB8" s="61">
        <f t="shared" si="7"/>
        <v>-4.9999999999883471E-5</v>
      </c>
      <c r="AC8" s="61">
        <f t="shared" si="8"/>
        <v>1.0000000000021103E-4</v>
      </c>
    </row>
    <row r="9" spans="1:29" ht="15" customHeight="1" x14ac:dyDescent="0.25">
      <c r="A9" s="61">
        <v>160.25</v>
      </c>
      <c r="C9" s="61">
        <v>2.0503499999999999</v>
      </c>
      <c r="D9" s="61">
        <v>2.0504500000000001</v>
      </c>
      <c r="E9" s="61">
        <v>2.0503499999999999</v>
      </c>
      <c r="F9" s="61">
        <v>2.0501999999999998</v>
      </c>
      <c r="G9" s="61">
        <v>2.0503999999999998</v>
      </c>
      <c r="H9" s="61">
        <v>2.0503999999999998</v>
      </c>
      <c r="I9" s="61">
        <v>2.0503499999999999</v>
      </c>
      <c r="J9" s="61">
        <v>2.0501999999999998</v>
      </c>
      <c r="K9" s="61">
        <f t="shared" si="0"/>
        <v>2.0501999999999998</v>
      </c>
      <c r="L9" s="61">
        <f t="shared" si="1"/>
        <v>2.0504500000000001</v>
      </c>
      <c r="M9" s="61">
        <f t="shared" si="9"/>
        <v>2.0503499999999999</v>
      </c>
      <c r="N9" s="61">
        <f t="shared" si="2"/>
        <v>-1.500000000000945E-4</v>
      </c>
      <c r="O9" s="61">
        <f t="shared" si="3"/>
        <v>1.0000000000021103E-4</v>
      </c>
      <c r="Q9" s="61">
        <f t="shared" si="4"/>
        <v>2.0500000000001073E-3</v>
      </c>
      <c r="R9" s="61">
        <f t="shared" si="4"/>
        <v>2.2999999999999687E-3</v>
      </c>
      <c r="S9" s="61">
        <f t="shared" si="4"/>
        <v>1.9499999999998963E-3</v>
      </c>
      <c r="T9" s="61">
        <f t="shared" si="4"/>
        <v>1.9999999999997797E-3</v>
      </c>
      <c r="U9" s="61">
        <f t="shared" si="4"/>
        <v>2.0499999999996632E-3</v>
      </c>
      <c r="V9" s="61">
        <f t="shared" si="4"/>
        <v>2.0999999999999908E-3</v>
      </c>
      <c r="W9" s="61">
        <f t="shared" si="4"/>
        <v>2.1499999999998742E-3</v>
      </c>
      <c r="X9" s="61">
        <f t="shared" si="4"/>
        <v>1.9999999999997797E-3</v>
      </c>
      <c r="Y9" s="61">
        <f t="shared" si="5"/>
        <v>1.9499999999998963E-3</v>
      </c>
      <c r="Z9" s="61">
        <f t="shared" si="6"/>
        <v>2.2999999999999687E-3</v>
      </c>
      <c r="AA9" s="61">
        <f t="shared" si="10"/>
        <v>1.9999999999997797E-3</v>
      </c>
      <c r="AB9" s="61">
        <f t="shared" si="7"/>
        <v>-4.9999999999883471E-5</v>
      </c>
      <c r="AC9" s="61">
        <f t="shared" si="8"/>
        <v>3.00000000000189E-4</v>
      </c>
    </row>
    <row r="10" spans="1:29" ht="15" customHeight="1" x14ac:dyDescent="0.25">
      <c r="A10" s="61">
        <v>175</v>
      </c>
      <c r="C10" s="61">
        <v>2.0528</v>
      </c>
      <c r="D10" s="61">
        <v>2.0529999999999999</v>
      </c>
      <c r="E10" s="61">
        <v>2.0527000000000002</v>
      </c>
      <c r="F10" s="61">
        <v>2.0528</v>
      </c>
      <c r="G10" s="61">
        <v>2.0528499999999998</v>
      </c>
      <c r="H10" s="61">
        <v>2.0529000000000002</v>
      </c>
      <c r="I10" s="61">
        <v>2.0528499999999998</v>
      </c>
      <c r="J10" s="61">
        <v>2.0529999999999999</v>
      </c>
      <c r="K10" s="61">
        <f t="shared" si="0"/>
        <v>2.0527000000000002</v>
      </c>
      <c r="L10" s="61">
        <f t="shared" si="1"/>
        <v>2.0529999999999999</v>
      </c>
      <c r="M10" s="61">
        <f t="shared" si="9"/>
        <v>2.0528</v>
      </c>
      <c r="N10" s="61">
        <f t="shared" si="2"/>
        <v>-9.9999999999766942E-5</v>
      </c>
      <c r="O10" s="61">
        <f t="shared" si="3"/>
        <v>1.9999999999997797E-4</v>
      </c>
      <c r="Q10" s="61">
        <f t="shared" si="4"/>
        <v>4.5000000000001705E-3</v>
      </c>
      <c r="R10" s="61">
        <f t="shared" si="4"/>
        <v>4.8499999999997989E-3</v>
      </c>
      <c r="S10" s="61">
        <f t="shared" si="4"/>
        <v>4.3000000000001926E-3</v>
      </c>
      <c r="T10" s="61">
        <f t="shared" si="4"/>
        <v>4.5999999999999375E-3</v>
      </c>
      <c r="U10" s="61">
        <f t="shared" si="4"/>
        <v>4.4999999999997264E-3</v>
      </c>
      <c r="V10" s="61">
        <f t="shared" si="4"/>
        <v>4.6000000000003816E-3</v>
      </c>
      <c r="W10" s="61">
        <f t="shared" si="4"/>
        <v>4.6499999999998209E-3</v>
      </c>
      <c r="X10" s="61">
        <f t="shared" si="4"/>
        <v>4.7999999999999154E-3</v>
      </c>
      <c r="Y10" s="61">
        <f t="shared" si="5"/>
        <v>4.3000000000001926E-3</v>
      </c>
      <c r="Z10" s="61">
        <f t="shared" si="6"/>
        <v>4.8499999999997989E-3</v>
      </c>
      <c r="AA10" s="61">
        <f>AVERAGE(Q10:X10)</f>
        <v>4.599999999999993E-3</v>
      </c>
      <c r="AB10" s="61">
        <f t="shared" si="7"/>
        <v>-2.9999999999980043E-4</v>
      </c>
      <c r="AC10" s="61">
        <f t="shared" si="8"/>
        <v>2.4999999999980593E-4</v>
      </c>
    </row>
    <row r="11" spans="1:29" ht="15" customHeight="1" x14ac:dyDescent="0.25">
      <c r="A11" s="61" t="s">
        <v>310</v>
      </c>
      <c r="B11" s="9" t="s">
        <v>266</v>
      </c>
      <c r="C11" s="61">
        <v>7.8649999999999998E-2</v>
      </c>
      <c r="D11" s="61">
        <v>7.8649999999999998E-2</v>
      </c>
      <c r="E11" s="61">
        <v>7.8700000000000006E-2</v>
      </c>
      <c r="F11" s="61">
        <v>7.8649999999999998E-2</v>
      </c>
      <c r="G11" s="61">
        <v>7.8649999999999998E-2</v>
      </c>
      <c r="H11" s="61">
        <v>7.8649999999999998E-2</v>
      </c>
      <c r="I11" s="61">
        <v>7.8649999999999998E-2</v>
      </c>
      <c r="J11" s="61">
        <v>7.8700000000000006E-2</v>
      </c>
      <c r="K11" s="61">
        <f t="shared" ref="K11:K12" si="11">MIN(C11:J11)</f>
        <v>7.8649999999999998E-2</v>
      </c>
      <c r="L11" s="61">
        <f t="shared" ref="L11:L12" si="12">MAX(C11:J11)</f>
        <v>7.8700000000000006E-2</v>
      </c>
      <c r="M11" s="61">
        <f t="shared" ref="M11:M12" si="13">MODE(C11:J11)</f>
        <v>7.8649999999999998E-2</v>
      </c>
      <c r="N11" s="61">
        <f t="shared" ref="N11:N12" si="14">K11-M11</f>
        <v>0</v>
      </c>
      <c r="O11" s="61">
        <f t="shared" ref="O11:O12" si="15">L11-M11</f>
        <v>5.0000000000008371E-5</v>
      </c>
      <c r="Y11" s="61">
        <f>MIN(Q5:X5,Q9:X9)</f>
        <v>1.7499999999999183E-3</v>
      </c>
      <c r="Z11" s="61">
        <f>MAX(Q5:X5,Q9:X9)</f>
        <v>2.2999999999999687E-3</v>
      </c>
      <c r="AA11" s="61">
        <f>MODE(Q5:X5,Q9:X9)</f>
        <v>1.9999999999997797E-3</v>
      </c>
      <c r="AB11" s="61">
        <f t="shared" si="7"/>
        <v>-2.4999999999986144E-4</v>
      </c>
      <c r="AC11" s="61">
        <f t="shared" si="8"/>
        <v>3.00000000000189E-4</v>
      </c>
    </row>
    <row r="12" spans="1:29" ht="15" customHeight="1" x14ac:dyDescent="0.25">
      <c r="A12" s="61" t="s">
        <v>310</v>
      </c>
      <c r="B12" s="9" t="s">
        <v>267</v>
      </c>
      <c r="C12" s="61">
        <v>7.85E-2</v>
      </c>
      <c r="D12" s="61">
        <v>7.8549999999999995E-2</v>
      </c>
      <c r="E12" s="61">
        <v>7.85E-2</v>
      </c>
      <c r="F12" s="61">
        <v>7.85E-2</v>
      </c>
      <c r="G12" s="61">
        <v>7.8549999999999995E-2</v>
      </c>
      <c r="H12" s="61">
        <v>7.8549999999999995E-2</v>
      </c>
      <c r="I12" s="61">
        <v>7.85E-2</v>
      </c>
      <c r="J12" s="61">
        <v>7.85E-2</v>
      </c>
      <c r="K12" s="61">
        <f t="shared" si="11"/>
        <v>7.85E-2</v>
      </c>
      <c r="L12" s="61">
        <f t="shared" si="12"/>
        <v>7.8549999999999995E-2</v>
      </c>
      <c r="M12" s="61">
        <f t="shared" si="13"/>
        <v>7.85E-2</v>
      </c>
      <c r="N12" s="61">
        <f t="shared" si="14"/>
        <v>0</v>
      </c>
      <c r="O12" s="61">
        <f t="shared" si="15"/>
        <v>4.9999999999994493E-5</v>
      </c>
    </row>
    <row r="13" spans="1:29" ht="15" customHeight="1" x14ac:dyDescent="0.25">
      <c r="A13" s="61" t="s">
        <v>274</v>
      </c>
      <c r="C13" s="61">
        <f>C7-'Rod Journals'!$M$2</f>
        <v>1.7999999999998018E-3</v>
      </c>
      <c r="D13" s="61">
        <f>D7-'Rod Journals'!$M$2</f>
        <v>1.6500000000001513E-3</v>
      </c>
      <c r="E13" s="61">
        <f>E7-'Rod Journals'!$M$2</f>
        <v>1.9000000000000128E-3</v>
      </c>
      <c r="F13" s="61">
        <f>F7-'Rod Journals'!$M$2</f>
        <v>1.7000000000000348E-3</v>
      </c>
      <c r="G13" s="61">
        <f>G7-'Rod Journals'!$M$2</f>
        <v>1.8500000000001293E-3</v>
      </c>
      <c r="H13" s="61">
        <f>H7-'Rod Journals'!$M$2</f>
        <v>1.7999999999998018E-3</v>
      </c>
      <c r="I13" s="61">
        <f>I7-'Rod Journals'!$M$2</f>
        <v>1.7000000000000348E-3</v>
      </c>
      <c r="J13" s="61">
        <f>J7-'Rod Journals'!$M$2</f>
        <v>1.7000000000000348E-3</v>
      </c>
      <c r="K13" s="61">
        <f t="shared" si="0"/>
        <v>1.6500000000001513E-3</v>
      </c>
      <c r="L13" s="61">
        <f t="shared" si="1"/>
        <v>1.9000000000000128E-3</v>
      </c>
      <c r="M13" s="61">
        <f>MODE(C13:J13)</f>
        <v>1.7000000000000348E-3</v>
      </c>
      <c r="N13" s="61">
        <f>MIN(C14:J14)-M13</f>
        <v>-3.5000000000007248E-4</v>
      </c>
      <c r="O13" s="61">
        <f>MAX(C15:J15)-M13</f>
        <v>2.9999999999974492E-4</v>
      </c>
    </row>
    <row r="14" spans="1:29" ht="15" customHeight="1" x14ac:dyDescent="0.25">
      <c r="A14" s="61" t="s">
        <v>275</v>
      </c>
      <c r="C14" s="61">
        <f>C7-'Rod Journals'!$L$2</f>
        <v>1.4999999999996128E-3</v>
      </c>
      <c r="D14" s="61">
        <f>D7-'Rod Journals'!$L$2</f>
        <v>1.3499999999999623E-3</v>
      </c>
      <c r="E14" s="61">
        <f>E7-'Rod Journals'!$L$2</f>
        <v>1.5999999999998238E-3</v>
      </c>
      <c r="F14" s="61">
        <f>F7-'Rod Journals'!$L$2</f>
        <v>1.3999999999998458E-3</v>
      </c>
      <c r="G14" s="61">
        <f>G7-'Rod Journals'!$L$2</f>
        <v>1.5499999999999403E-3</v>
      </c>
      <c r="H14" s="61">
        <f>H7-'Rod Journals'!$L$2</f>
        <v>1.4999999999996128E-3</v>
      </c>
      <c r="I14" s="61">
        <f>I7-'Rod Journals'!$L$2</f>
        <v>1.3999999999998458E-3</v>
      </c>
      <c r="J14" s="61">
        <f>J7-'Rod Journals'!$L$2</f>
        <v>1.3999999999998458E-3</v>
      </c>
      <c r="K14" s="61">
        <f t="shared" si="0"/>
        <v>1.3499999999999623E-3</v>
      </c>
    </row>
    <row r="15" spans="1:29" ht="15" customHeight="1" x14ac:dyDescent="0.25">
      <c r="A15" s="61" t="s">
        <v>276</v>
      </c>
      <c r="C15" s="61">
        <f>C7-'Rod Journals'!$K$2</f>
        <v>1.8999999999995687E-3</v>
      </c>
      <c r="D15" s="61">
        <f>D7-'Rod Journals'!$K$2</f>
        <v>1.7499999999999183E-3</v>
      </c>
      <c r="E15" s="61">
        <f>E7-'Rod Journals'!$K$2</f>
        <v>1.9999999999997797E-3</v>
      </c>
      <c r="F15" s="61">
        <f>F7-'Rod Journals'!$K$2</f>
        <v>1.7999999999998018E-3</v>
      </c>
      <c r="G15" s="61">
        <f>G7-'Rod Journals'!$K$2</f>
        <v>1.9499999999998963E-3</v>
      </c>
      <c r="H15" s="61">
        <f>H7-'Rod Journals'!$K$2</f>
        <v>1.8999999999995687E-3</v>
      </c>
      <c r="I15" s="61">
        <f>I7-'Rod Journals'!$K$2</f>
        <v>1.7999999999998018E-3</v>
      </c>
      <c r="J15" s="61">
        <f>J7-'Rod Journals'!$K$2</f>
        <v>1.7999999999998018E-3</v>
      </c>
      <c r="L15" s="61">
        <f>MAX(C15:J15)</f>
        <v>1.9999999999997797E-3</v>
      </c>
    </row>
  </sheetData>
  <mergeCells count="1">
    <mergeCell ref="Q2:X2"/>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5"/>
  <sheetViews>
    <sheetView workbookViewId="0">
      <selection activeCell="J8" sqref="J8"/>
    </sheetView>
  </sheetViews>
  <sheetFormatPr defaultRowHeight="15" x14ac:dyDescent="0.25"/>
  <cols>
    <col min="1" max="1" width="14" style="61" bestFit="1" customWidth="1"/>
    <col min="2" max="2" width="9.140625" style="9"/>
    <col min="3" max="15" width="9.140625" style="61"/>
    <col min="16" max="16384" width="9.140625" style="9"/>
  </cols>
  <sheetData>
    <row r="1" spans="1:29" ht="15" customHeight="1" x14ac:dyDescent="0.25">
      <c r="A1" s="61" t="s">
        <v>270</v>
      </c>
      <c r="B1" s="9" t="s">
        <v>313</v>
      </c>
    </row>
    <row r="2" spans="1:29" ht="15" customHeight="1" x14ac:dyDescent="0.25">
      <c r="B2" s="9" t="s">
        <v>272</v>
      </c>
      <c r="C2" s="61">
        <v>76.599999999999994</v>
      </c>
      <c r="D2" s="61">
        <v>76.599999999999994</v>
      </c>
      <c r="E2" s="61">
        <v>76.5</v>
      </c>
      <c r="F2" s="61">
        <v>76.5</v>
      </c>
      <c r="G2" s="61">
        <v>76.400000000000006</v>
      </c>
      <c r="H2" s="61">
        <v>76.400000000000006</v>
      </c>
      <c r="I2" s="61">
        <v>76.3</v>
      </c>
      <c r="J2" s="61">
        <v>76.599999999999994</v>
      </c>
      <c r="Q2" s="73" t="s">
        <v>311</v>
      </c>
      <c r="R2" s="73"/>
      <c r="S2" s="73"/>
      <c r="T2" s="73"/>
      <c r="U2" s="73"/>
      <c r="V2" s="73"/>
      <c r="W2" s="73"/>
      <c r="X2" s="73"/>
    </row>
    <row r="3" spans="1:29" ht="15" customHeight="1" x14ac:dyDescent="0.25">
      <c r="B3" s="9" t="s">
        <v>273</v>
      </c>
      <c r="C3" s="61">
        <v>71.599999999999994</v>
      </c>
      <c r="D3" s="61">
        <v>71.2</v>
      </c>
      <c r="E3" s="61">
        <v>71.599999999999994</v>
      </c>
      <c r="F3" s="61">
        <v>71.599999999999994</v>
      </c>
      <c r="G3" s="61">
        <v>71.7</v>
      </c>
      <c r="H3" s="61">
        <v>72.099999999999994</v>
      </c>
      <c r="I3" s="61">
        <v>71.900000000000006</v>
      </c>
      <c r="J3" s="61">
        <v>72.5</v>
      </c>
      <c r="Q3" s="71" t="s">
        <v>205</v>
      </c>
      <c r="R3" s="71" t="s">
        <v>206</v>
      </c>
      <c r="S3" s="71" t="s">
        <v>207</v>
      </c>
      <c r="T3" s="71" t="s">
        <v>208</v>
      </c>
      <c r="U3" s="71" t="s">
        <v>209</v>
      </c>
      <c r="V3" s="71" t="s">
        <v>210</v>
      </c>
      <c r="W3" s="71" t="s">
        <v>211</v>
      </c>
      <c r="X3" s="71" t="s">
        <v>212</v>
      </c>
      <c r="Y3" s="56" t="s">
        <v>226</v>
      </c>
      <c r="Z3" s="56" t="s">
        <v>213</v>
      </c>
      <c r="AA3" s="56" t="s">
        <v>214</v>
      </c>
      <c r="AB3" s="56" t="s">
        <v>215</v>
      </c>
      <c r="AC3" s="56" t="s">
        <v>216</v>
      </c>
    </row>
    <row r="4" spans="1:29" ht="15" customHeight="1" x14ac:dyDescent="0.25">
      <c r="A4" s="61">
        <v>5</v>
      </c>
      <c r="K4" s="61">
        <f t="shared" ref="K4:K14" si="0">MIN(C4:J4)</f>
        <v>0</v>
      </c>
      <c r="L4" s="61">
        <f t="shared" ref="L4:L13" si="1">MAX(C4:J4)</f>
        <v>0</v>
      </c>
      <c r="M4" s="61" t="e">
        <f>MODE(C4:J4)</f>
        <v>#N/A</v>
      </c>
      <c r="N4" s="61" t="e">
        <f t="shared" ref="N4:N12" si="2">K4-M4</f>
        <v>#N/A</v>
      </c>
      <c r="O4" s="61" t="e">
        <f t="shared" ref="O4:O12" si="3">L4-M4</f>
        <v>#N/A</v>
      </c>
      <c r="Q4" s="61">
        <f t="shared" ref="Q4:X10" si="4">C4-C$7</f>
        <v>-2.0482499999999999</v>
      </c>
      <c r="R4" s="61">
        <f t="shared" si="4"/>
        <v>-2.0482499999999999</v>
      </c>
      <c r="S4" s="61">
        <f t="shared" si="4"/>
        <v>-2.0482499999999999</v>
      </c>
      <c r="T4" s="61">
        <f t="shared" si="4"/>
        <v>-2.0482</v>
      </c>
      <c r="U4" s="61">
        <f t="shared" si="4"/>
        <v>-2.0482</v>
      </c>
      <c r="V4" s="61">
        <f t="shared" si="4"/>
        <v>-2.0482</v>
      </c>
      <c r="W4" s="61">
        <f t="shared" si="4"/>
        <v>-2.0482</v>
      </c>
      <c r="X4" s="61">
        <f t="shared" si="4"/>
        <v>-2.0482</v>
      </c>
      <c r="Y4" s="61">
        <f t="shared" ref="Y4:Y10" si="5">MIN(Q4:X4)</f>
        <v>-2.0482499999999999</v>
      </c>
      <c r="Z4" s="61">
        <f t="shared" ref="Z4:Z10" si="6">MAX(Q4:X4)</f>
        <v>-2.0482</v>
      </c>
      <c r="AA4" s="61">
        <f>MODE(Q4:X4)</f>
        <v>-2.0482</v>
      </c>
      <c r="AB4" s="61">
        <f t="shared" ref="AB4:AB11" si="7">Y4-AA4</f>
        <v>-4.9999999999883471E-5</v>
      </c>
      <c r="AC4" s="61">
        <f t="shared" ref="AC4:AC11" si="8">Z4-AA4</f>
        <v>0</v>
      </c>
    </row>
    <row r="5" spans="1:29" ht="15" customHeight="1" x14ac:dyDescent="0.25">
      <c r="A5" s="61">
        <v>19.75</v>
      </c>
      <c r="K5" s="61">
        <f t="shared" si="0"/>
        <v>0</v>
      </c>
      <c r="L5" s="61">
        <f t="shared" si="1"/>
        <v>0</v>
      </c>
      <c r="M5" s="61" t="e">
        <f t="shared" ref="M5:M12" si="9">MODE(C5:J5)</f>
        <v>#N/A</v>
      </c>
      <c r="N5" s="61" t="e">
        <f t="shared" si="2"/>
        <v>#N/A</v>
      </c>
      <c r="O5" s="61" t="e">
        <f t="shared" si="3"/>
        <v>#N/A</v>
      </c>
      <c r="Q5" s="61">
        <f t="shared" si="4"/>
        <v>-2.0482499999999999</v>
      </c>
      <c r="R5" s="61">
        <f t="shared" si="4"/>
        <v>-2.0482499999999999</v>
      </c>
      <c r="S5" s="61">
        <f t="shared" si="4"/>
        <v>-2.0482499999999999</v>
      </c>
      <c r="T5" s="61">
        <f t="shared" si="4"/>
        <v>-2.0482</v>
      </c>
      <c r="U5" s="61">
        <f t="shared" si="4"/>
        <v>-2.0482</v>
      </c>
      <c r="V5" s="61">
        <f t="shared" si="4"/>
        <v>-2.0482</v>
      </c>
      <c r="W5" s="61">
        <f t="shared" si="4"/>
        <v>-2.0482</v>
      </c>
      <c r="X5" s="61">
        <f t="shared" si="4"/>
        <v>-2.0482</v>
      </c>
      <c r="Y5" s="61">
        <f t="shared" si="5"/>
        <v>-2.0482499999999999</v>
      </c>
      <c r="Z5" s="61">
        <f t="shared" si="6"/>
        <v>-2.0482</v>
      </c>
      <c r="AA5" s="61">
        <f t="shared" ref="AA5:AA10" si="10">MODE(Q5:X5)</f>
        <v>-2.0482</v>
      </c>
      <c r="AB5" s="61">
        <f t="shared" si="7"/>
        <v>-4.9999999999883471E-5</v>
      </c>
      <c r="AC5" s="61">
        <f t="shared" si="8"/>
        <v>0</v>
      </c>
    </row>
    <row r="6" spans="1:29" ht="15" customHeight="1" x14ac:dyDescent="0.25">
      <c r="A6" s="61">
        <v>45</v>
      </c>
      <c r="K6" s="61">
        <f t="shared" si="0"/>
        <v>0</v>
      </c>
      <c r="L6" s="61">
        <f t="shared" si="1"/>
        <v>0</v>
      </c>
      <c r="M6" s="61" t="e">
        <f t="shared" si="9"/>
        <v>#N/A</v>
      </c>
      <c r="N6" s="61" t="e">
        <f t="shared" si="2"/>
        <v>#N/A</v>
      </c>
      <c r="O6" s="61" t="e">
        <f t="shared" si="3"/>
        <v>#N/A</v>
      </c>
      <c r="Q6" s="61">
        <f t="shared" si="4"/>
        <v>-2.0482499999999999</v>
      </c>
      <c r="R6" s="61">
        <f t="shared" si="4"/>
        <v>-2.0482499999999999</v>
      </c>
      <c r="S6" s="61">
        <f t="shared" si="4"/>
        <v>-2.0482499999999999</v>
      </c>
      <c r="T6" s="61">
        <f t="shared" si="4"/>
        <v>-2.0482</v>
      </c>
      <c r="U6" s="61">
        <f t="shared" si="4"/>
        <v>-2.0482</v>
      </c>
      <c r="V6" s="61">
        <f t="shared" si="4"/>
        <v>-2.0482</v>
      </c>
      <c r="W6" s="61">
        <f t="shared" si="4"/>
        <v>-2.0482</v>
      </c>
      <c r="X6" s="61">
        <f t="shared" si="4"/>
        <v>-2.0482</v>
      </c>
      <c r="Y6" s="61">
        <f t="shared" si="5"/>
        <v>-2.0482499999999999</v>
      </c>
      <c r="Z6" s="61">
        <f t="shared" si="6"/>
        <v>-2.0482</v>
      </c>
      <c r="AA6" s="61">
        <f t="shared" si="10"/>
        <v>-2.0482</v>
      </c>
      <c r="AB6" s="61">
        <f t="shared" si="7"/>
        <v>-4.9999999999883471E-5</v>
      </c>
      <c r="AC6" s="61">
        <f t="shared" si="8"/>
        <v>0</v>
      </c>
    </row>
    <row r="7" spans="1:29" ht="15" customHeight="1" x14ac:dyDescent="0.25">
      <c r="A7" s="61">
        <v>90</v>
      </c>
      <c r="C7" s="61">
        <v>2.0482499999999999</v>
      </c>
      <c r="D7" s="61">
        <v>2.0482499999999999</v>
      </c>
      <c r="E7" s="61">
        <v>2.0482499999999999</v>
      </c>
      <c r="F7" s="61">
        <v>2.0482</v>
      </c>
      <c r="G7" s="61">
        <v>2.0482</v>
      </c>
      <c r="H7" s="61">
        <v>2.0482</v>
      </c>
      <c r="I7" s="61">
        <v>2.0482</v>
      </c>
      <c r="J7" s="61">
        <v>2.0482</v>
      </c>
      <c r="K7" s="61">
        <f t="shared" si="0"/>
        <v>2.0482</v>
      </c>
      <c r="L7" s="61">
        <f t="shared" si="1"/>
        <v>2.0482499999999999</v>
      </c>
      <c r="M7" s="61">
        <f t="shared" si="9"/>
        <v>2.0482</v>
      </c>
      <c r="N7" s="61">
        <f t="shared" si="2"/>
        <v>0</v>
      </c>
      <c r="O7" s="61">
        <f t="shared" si="3"/>
        <v>4.9999999999883471E-5</v>
      </c>
      <c r="Q7" s="61">
        <f>C7-C$7</f>
        <v>0</v>
      </c>
      <c r="R7" s="61">
        <f t="shared" si="4"/>
        <v>0</v>
      </c>
      <c r="S7" s="61">
        <f t="shared" si="4"/>
        <v>0</v>
      </c>
      <c r="T7" s="61">
        <f t="shared" si="4"/>
        <v>0</v>
      </c>
      <c r="U7" s="61">
        <f t="shared" si="4"/>
        <v>0</v>
      </c>
      <c r="V7" s="61">
        <f t="shared" si="4"/>
        <v>0</v>
      </c>
      <c r="W7" s="61">
        <f t="shared" si="4"/>
        <v>0</v>
      </c>
      <c r="X7" s="61">
        <f t="shared" si="4"/>
        <v>0</v>
      </c>
      <c r="Y7" s="61">
        <f t="shared" si="5"/>
        <v>0</v>
      </c>
      <c r="Z7" s="61">
        <f t="shared" si="6"/>
        <v>0</v>
      </c>
      <c r="AA7" s="61">
        <f t="shared" si="10"/>
        <v>0</v>
      </c>
      <c r="AB7" s="61">
        <f t="shared" si="7"/>
        <v>0</v>
      </c>
      <c r="AC7" s="61">
        <f t="shared" si="8"/>
        <v>0</v>
      </c>
    </row>
    <row r="8" spans="1:29" ht="15" customHeight="1" x14ac:dyDescent="0.25">
      <c r="A8" s="61">
        <v>135</v>
      </c>
      <c r="K8" s="61">
        <f t="shared" si="0"/>
        <v>0</v>
      </c>
      <c r="L8" s="61">
        <f t="shared" si="1"/>
        <v>0</v>
      </c>
      <c r="M8" s="61" t="e">
        <f t="shared" si="9"/>
        <v>#N/A</v>
      </c>
      <c r="N8" s="61" t="e">
        <f t="shared" si="2"/>
        <v>#N/A</v>
      </c>
      <c r="O8" s="61" t="e">
        <f t="shared" si="3"/>
        <v>#N/A</v>
      </c>
      <c r="Q8" s="61">
        <f t="shared" si="4"/>
        <v>-2.0482499999999999</v>
      </c>
      <c r="R8" s="61">
        <f t="shared" si="4"/>
        <v>-2.0482499999999999</v>
      </c>
      <c r="S8" s="61">
        <f t="shared" si="4"/>
        <v>-2.0482499999999999</v>
      </c>
      <c r="T8" s="61">
        <f t="shared" si="4"/>
        <v>-2.0482</v>
      </c>
      <c r="U8" s="61">
        <f t="shared" si="4"/>
        <v>-2.0482</v>
      </c>
      <c r="V8" s="61">
        <f t="shared" si="4"/>
        <v>-2.0482</v>
      </c>
      <c r="W8" s="61">
        <f t="shared" si="4"/>
        <v>-2.0482</v>
      </c>
      <c r="X8" s="61">
        <f t="shared" si="4"/>
        <v>-2.0482</v>
      </c>
      <c r="Y8" s="61">
        <f t="shared" si="5"/>
        <v>-2.0482499999999999</v>
      </c>
      <c r="Z8" s="61">
        <f t="shared" si="6"/>
        <v>-2.0482</v>
      </c>
      <c r="AA8" s="61">
        <f t="shared" si="10"/>
        <v>-2.0482</v>
      </c>
      <c r="AB8" s="61">
        <f t="shared" si="7"/>
        <v>-4.9999999999883471E-5</v>
      </c>
      <c r="AC8" s="61">
        <f t="shared" si="8"/>
        <v>0</v>
      </c>
    </row>
    <row r="9" spans="1:29" ht="15" customHeight="1" x14ac:dyDescent="0.25">
      <c r="A9" s="61">
        <v>160.25</v>
      </c>
      <c r="K9" s="61">
        <f t="shared" si="0"/>
        <v>0</v>
      </c>
      <c r="L9" s="61">
        <f t="shared" si="1"/>
        <v>0</v>
      </c>
      <c r="M9" s="61" t="e">
        <f t="shared" si="9"/>
        <v>#N/A</v>
      </c>
      <c r="N9" s="61" t="e">
        <f t="shared" si="2"/>
        <v>#N/A</v>
      </c>
      <c r="O9" s="61" t="e">
        <f t="shared" si="3"/>
        <v>#N/A</v>
      </c>
      <c r="Q9" s="61">
        <f t="shared" si="4"/>
        <v>-2.0482499999999999</v>
      </c>
      <c r="R9" s="61">
        <f t="shared" si="4"/>
        <v>-2.0482499999999999</v>
      </c>
      <c r="S9" s="61">
        <f t="shared" si="4"/>
        <v>-2.0482499999999999</v>
      </c>
      <c r="T9" s="61">
        <f t="shared" si="4"/>
        <v>-2.0482</v>
      </c>
      <c r="U9" s="61">
        <f t="shared" si="4"/>
        <v>-2.0482</v>
      </c>
      <c r="V9" s="61">
        <f t="shared" si="4"/>
        <v>-2.0482</v>
      </c>
      <c r="W9" s="61">
        <f t="shared" si="4"/>
        <v>-2.0482</v>
      </c>
      <c r="X9" s="61">
        <f t="shared" si="4"/>
        <v>-2.0482</v>
      </c>
      <c r="Y9" s="61">
        <f t="shared" si="5"/>
        <v>-2.0482499999999999</v>
      </c>
      <c r="Z9" s="61">
        <f t="shared" si="6"/>
        <v>-2.0482</v>
      </c>
      <c r="AA9" s="61">
        <f t="shared" si="10"/>
        <v>-2.0482</v>
      </c>
      <c r="AB9" s="61">
        <f t="shared" si="7"/>
        <v>-4.9999999999883471E-5</v>
      </c>
      <c r="AC9" s="61">
        <f t="shared" si="8"/>
        <v>0</v>
      </c>
    </row>
    <row r="10" spans="1:29" ht="15" customHeight="1" x14ac:dyDescent="0.25">
      <c r="A10" s="61">
        <v>175</v>
      </c>
      <c r="K10" s="61">
        <f t="shared" si="0"/>
        <v>0</v>
      </c>
      <c r="L10" s="61">
        <f t="shared" si="1"/>
        <v>0</v>
      </c>
      <c r="M10" s="61" t="e">
        <f t="shared" si="9"/>
        <v>#N/A</v>
      </c>
      <c r="N10" s="61" t="e">
        <f t="shared" si="2"/>
        <v>#N/A</v>
      </c>
      <c r="O10" s="61" t="e">
        <f t="shared" si="3"/>
        <v>#N/A</v>
      </c>
      <c r="Q10" s="61">
        <f t="shared" si="4"/>
        <v>-2.0482499999999999</v>
      </c>
      <c r="R10" s="61">
        <f t="shared" si="4"/>
        <v>-2.0482499999999999</v>
      </c>
      <c r="S10" s="61">
        <f t="shared" si="4"/>
        <v>-2.0482499999999999</v>
      </c>
      <c r="T10" s="61">
        <f t="shared" si="4"/>
        <v>-2.0482</v>
      </c>
      <c r="U10" s="61">
        <f t="shared" si="4"/>
        <v>-2.0482</v>
      </c>
      <c r="V10" s="61">
        <f t="shared" si="4"/>
        <v>-2.0482</v>
      </c>
      <c r="W10" s="61">
        <f t="shared" si="4"/>
        <v>-2.0482</v>
      </c>
      <c r="X10" s="61">
        <f t="shared" si="4"/>
        <v>-2.0482</v>
      </c>
      <c r="Y10" s="61">
        <f t="shared" si="5"/>
        <v>-2.0482499999999999</v>
      </c>
      <c r="Z10" s="61">
        <f t="shared" si="6"/>
        <v>-2.0482</v>
      </c>
      <c r="AA10" s="61">
        <f>AVERAGE(Q10:X10)</f>
        <v>-2.0482187499999998</v>
      </c>
      <c r="AB10" s="61">
        <f t="shared" si="7"/>
        <v>-3.1250000000149214E-5</v>
      </c>
      <c r="AC10" s="61">
        <f t="shared" si="8"/>
        <v>1.8749999999734257E-5</v>
      </c>
    </row>
    <row r="11" spans="1:29" ht="15" customHeight="1" x14ac:dyDescent="0.25">
      <c r="A11" s="61" t="s">
        <v>310</v>
      </c>
      <c r="B11" s="9" t="s">
        <v>266</v>
      </c>
      <c r="C11" s="61">
        <v>7.8700000000000006E-2</v>
      </c>
      <c r="D11" s="61">
        <v>7.8750000000000001E-2</v>
      </c>
      <c r="E11" s="61">
        <v>7.8850000000000003E-2</v>
      </c>
      <c r="F11" s="61">
        <v>7.8750000000000001E-2</v>
      </c>
      <c r="G11" s="61">
        <v>7.8700000000000006E-2</v>
      </c>
      <c r="H11" s="61">
        <v>7.8750000000000001E-2</v>
      </c>
      <c r="I11" s="61">
        <v>7.8850000000000003E-2</v>
      </c>
      <c r="J11" s="61">
        <v>7.8850000000000003E-2</v>
      </c>
      <c r="K11" s="61">
        <f t="shared" si="0"/>
        <v>7.8700000000000006E-2</v>
      </c>
      <c r="L11" s="61">
        <f t="shared" si="1"/>
        <v>7.8850000000000003E-2</v>
      </c>
      <c r="M11" s="61">
        <f>ROUND(AVERAGE(C11:J11),4)</f>
        <v>7.8799999999999995E-2</v>
      </c>
      <c r="N11" s="61">
        <f t="shared" si="2"/>
        <v>-9.9999999999988987E-5</v>
      </c>
      <c r="O11" s="61">
        <f t="shared" si="3"/>
        <v>5.0000000000008371E-5</v>
      </c>
      <c r="Y11" s="61">
        <f>MIN(Q5:X5,Q9:X9)</f>
        <v>-2.0482499999999999</v>
      </c>
      <c r="Z11" s="61">
        <f>MAX(Q5:X5,Q9:X9)</f>
        <v>-2.0482</v>
      </c>
      <c r="AA11" s="61">
        <f>MODE(Q5:X5,Q9:X9)</f>
        <v>-2.0482</v>
      </c>
      <c r="AB11" s="61">
        <f t="shared" si="7"/>
        <v>-4.9999999999883471E-5</v>
      </c>
      <c r="AC11" s="61">
        <f t="shared" si="8"/>
        <v>0</v>
      </c>
    </row>
    <row r="12" spans="1:29" ht="15" customHeight="1" x14ac:dyDescent="0.25">
      <c r="A12" s="61" t="s">
        <v>310</v>
      </c>
      <c r="B12" s="9" t="s">
        <v>267</v>
      </c>
      <c r="C12" s="61">
        <v>7.85E-2</v>
      </c>
      <c r="D12" s="61">
        <v>7.8600000000000003E-2</v>
      </c>
      <c r="E12" s="61">
        <v>7.8549999999999995E-2</v>
      </c>
      <c r="F12" s="61">
        <v>7.85E-2</v>
      </c>
      <c r="G12" s="61">
        <v>7.8600000000000003E-2</v>
      </c>
      <c r="H12" s="61">
        <v>7.8600000000000003E-2</v>
      </c>
      <c r="I12" s="61">
        <v>7.85E-2</v>
      </c>
      <c r="J12" s="61">
        <v>7.8549999999999995E-2</v>
      </c>
      <c r="K12" s="61">
        <f t="shared" si="0"/>
        <v>7.85E-2</v>
      </c>
      <c r="L12" s="61">
        <f t="shared" si="1"/>
        <v>7.8600000000000003E-2</v>
      </c>
      <c r="M12" s="61">
        <f>ROUND(AVERAGE(C12:J12),4)</f>
        <v>7.8600000000000003E-2</v>
      </c>
      <c r="N12" s="61">
        <f t="shared" si="2"/>
        <v>-1.0000000000000286E-4</v>
      </c>
      <c r="O12" s="61">
        <f t="shared" si="3"/>
        <v>0</v>
      </c>
    </row>
    <row r="13" spans="1:29" ht="15" customHeight="1" x14ac:dyDescent="0.25">
      <c r="A13" s="61" t="s">
        <v>274</v>
      </c>
      <c r="C13" s="61">
        <f>C7-'Rod Journals'!$M$2</f>
        <v>1.7499999999999183E-3</v>
      </c>
      <c r="D13" s="61">
        <f>D7-'Rod Journals'!$M$2</f>
        <v>1.7499999999999183E-3</v>
      </c>
      <c r="E13" s="61">
        <f>E7-'Rod Journals'!$M$2</f>
        <v>1.7499999999999183E-3</v>
      </c>
      <c r="F13" s="61">
        <f>F7-'Rod Journals'!$M$2</f>
        <v>1.7000000000000348E-3</v>
      </c>
      <c r="G13" s="61">
        <f>G7-'Rod Journals'!$M$2</f>
        <v>1.7000000000000348E-3</v>
      </c>
      <c r="H13" s="61">
        <f>H7-'Rod Journals'!$M$2</f>
        <v>1.7000000000000348E-3</v>
      </c>
      <c r="I13" s="61">
        <f>I7-'Rod Journals'!$M$2</f>
        <v>1.7000000000000348E-3</v>
      </c>
      <c r="J13" s="61">
        <f>J7-'Rod Journals'!$M$2</f>
        <v>1.7000000000000348E-3</v>
      </c>
      <c r="K13" s="61">
        <f t="shared" si="0"/>
        <v>1.7000000000000348E-3</v>
      </c>
      <c r="L13" s="61">
        <f t="shared" si="1"/>
        <v>1.7499999999999183E-3</v>
      </c>
      <c r="M13" s="61">
        <f>MODE(C13:J13)</f>
        <v>1.7000000000000348E-3</v>
      </c>
      <c r="N13" s="61">
        <f>MIN(C14:J14)-M13</f>
        <v>-3.00000000000189E-4</v>
      </c>
      <c r="O13" s="61">
        <f>MAX(C15:J15)-M13</f>
        <v>1.4999999999965041E-4</v>
      </c>
    </row>
    <row r="14" spans="1:29" ht="15" customHeight="1" x14ac:dyDescent="0.25">
      <c r="A14" s="61" t="s">
        <v>275</v>
      </c>
      <c r="C14" s="61">
        <f>C7-'Rod Journals'!$L$2</f>
        <v>1.4499999999997293E-3</v>
      </c>
      <c r="D14" s="61">
        <f>D7-'Rod Journals'!$L$2</f>
        <v>1.4499999999997293E-3</v>
      </c>
      <c r="E14" s="61">
        <f>E7-'Rod Journals'!$L$2</f>
        <v>1.4499999999997293E-3</v>
      </c>
      <c r="F14" s="61">
        <f>F7-'Rod Journals'!$L$2</f>
        <v>1.3999999999998458E-3</v>
      </c>
      <c r="G14" s="61">
        <f>G7-'Rod Journals'!$L$2</f>
        <v>1.3999999999998458E-3</v>
      </c>
      <c r="H14" s="61">
        <f>H7-'Rod Journals'!$L$2</f>
        <v>1.3999999999998458E-3</v>
      </c>
      <c r="I14" s="61">
        <f>I7-'Rod Journals'!$L$2</f>
        <v>1.3999999999998458E-3</v>
      </c>
      <c r="J14" s="61">
        <f>J7-'Rod Journals'!$L$2</f>
        <v>1.3999999999998458E-3</v>
      </c>
      <c r="K14" s="61">
        <f t="shared" si="0"/>
        <v>1.3999999999998458E-3</v>
      </c>
    </row>
    <row r="15" spans="1:29" ht="15" customHeight="1" x14ac:dyDescent="0.25">
      <c r="A15" s="61" t="s">
        <v>276</v>
      </c>
      <c r="C15" s="61">
        <f>C7-'Rod Journals'!$K$2</f>
        <v>1.8499999999996852E-3</v>
      </c>
      <c r="D15" s="61">
        <f>D7-'Rod Journals'!$K$2</f>
        <v>1.8499999999996852E-3</v>
      </c>
      <c r="E15" s="61">
        <f>E7-'Rod Journals'!$K$2</f>
        <v>1.8499999999996852E-3</v>
      </c>
      <c r="F15" s="61">
        <f>F7-'Rod Journals'!$K$2</f>
        <v>1.7999999999998018E-3</v>
      </c>
      <c r="G15" s="61">
        <f>G7-'Rod Journals'!$K$2</f>
        <v>1.7999999999998018E-3</v>
      </c>
      <c r="H15" s="61">
        <f>H7-'Rod Journals'!$K$2</f>
        <v>1.7999999999998018E-3</v>
      </c>
      <c r="I15" s="61">
        <f>I7-'Rod Journals'!$K$2</f>
        <v>1.7999999999998018E-3</v>
      </c>
      <c r="J15" s="61">
        <f>J7-'Rod Journals'!$K$2</f>
        <v>1.7999999999998018E-3</v>
      </c>
      <c r="L15" s="61">
        <f>MAX(C15:J15)</f>
        <v>1.8499999999996852E-3</v>
      </c>
    </row>
  </sheetData>
  <mergeCells count="1">
    <mergeCell ref="Q2:X2"/>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5"/>
  <sheetViews>
    <sheetView workbookViewId="0">
      <selection activeCell="B2" sqref="B2"/>
    </sheetView>
  </sheetViews>
  <sheetFormatPr defaultRowHeight="15" x14ac:dyDescent="0.25"/>
  <cols>
    <col min="1" max="1" width="14" style="61" bestFit="1" customWidth="1"/>
    <col min="2" max="2" width="9.140625" style="9"/>
    <col min="3" max="15" width="9.140625" style="61"/>
    <col min="16" max="16384" width="9.140625" style="9"/>
  </cols>
  <sheetData>
    <row r="1" spans="1:29" ht="15" customHeight="1" x14ac:dyDescent="0.25">
      <c r="A1" s="61" t="s">
        <v>270</v>
      </c>
      <c r="B1" s="9" t="s">
        <v>312</v>
      </c>
    </row>
    <row r="2" spans="1:29" ht="15" customHeight="1" x14ac:dyDescent="0.25">
      <c r="B2" s="9" t="s">
        <v>272</v>
      </c>
      <c r="C2" s="61">
        <v>76.599999999999994</v>
      </c>
      <c r="D2" s="61">
        <v>76.599999999999994</v>
      </c>
      <c r="E2" s="61">
        <v>76.5</v>
      </c>
      <c r="F2" s="61">
        <v>76.5</v>
      </c>
      <c r="G2" s="61">
        <v>76.400000000000006</v>
      </c>
      <c r="H2" s="61">
        <v>76.400000000000006</v>
      </c>
      <c r="I2" s="61">
        <v>76.3</v>
      </c>
      <c r="J2" s="61">
        <v>76.599999999999994</v>
      </c>
      <c r="Q2" s="73" t="s">
        <v>311</v>
      </c>
      <c r="R2" s="73"/>
      <c r="S2" s="73"/>
      <c r="T2" s="73"/>
      <c r="U2" s="73"/>
      <c r="V2" s="73"/>
      <c r="W2" s="73"/>
      <c r="X2" s="73"/>
    </row>
    <row r="3" spans="1:29" ht="15" customHeight="1" x14ac:dyDescent="0.25">
      <c r="B3" s="9" t="s">
        <v>273</v>
      </c>
      <c r="C3" s="61">
        <v>71.599999999999994</v>
      </c>
      <c r="D3" s="61">
        <v>71.2</v>
      </c>
      <c r="E3" s="61">
        <v>71.599999999999994</v>
      </c>
      <c r="F3" s="61">
        <v>71.599999999999994</v>
      </c>
      <c r="G3" s="61">
        <v>71.7</v>
      </c>
      <c r="H3" s="61">
        <v>72.099999999999994</v>
      </c>
      <c r="I3" s="61">
        <v>71.900000000000006</v>
      </c>
      <c r="J3" s="61">
        <v>72.5</v>
      </c>
      <c r="Q3" s="71" t="s">
        <v>205</v>
      </c>
      <c r="R3" s="71" t="s">
        <v>206</v>
      </c>
      <c r="S3" s="71" t="s">
        <v>207</v>
      </c>
      <c r="T3" s="71" t="s">
        <v>208</v>
      </c>
      <c r="U3" s="71" t="s">
        <v>209</v>
      </c>
      <c r="V3" s="71" t="s">
        <v>210</v>
      </c>
      <c r="W3" s="71" t="s">
        <v>211</v>
      </c>
      <c r="X3" s="71" t="s">
        <v>212</v>
      </c>
      <c r="Y3" s="56" t="s">
        <v>226</v>
      </c>
      <c r="Z3" s="56" t="s">
        <v>213</v>
      </c>
      <c r="AA3" s="56" t="s">
        <v>214</v>
      </c>
      <c r="AB3" s="56" t="s">
        <v>215</v>
      </c>
      <c r="AC3" s="56" t="s">
        <v>216</v>
      </c>
    </row>
    <row r="4" spans="1:29" ht="15" customHeight="1" x14ac:dyDescent="0.25">
      <c r="A4" s="61">
        <v>5</v>
      </c>
      <c r="C4" s="61">
        <v>2.0528</v>
      </c>
      <c r="D4" s="61">
        <v>2.0529000000000002</v>
      </c>
      <c r="E4" s="61">
        <v>2.0529000000000002</v>
      </c>
      <c r="F4" s="61">
        <v>2.0528</v>
      </c>
      <c r="G4" s="61">
        <v>2.0525000000000002</v>
      </c>
      <c r="H4" s="61">
        <v>2.0526</v>
      </c>
      <c r="I4" s="61">
        <v>2.0527000000000002</v>
      </c>
      <c r="J4" s="61">
        <v>2.0529000000000002</v>
      </c>
      <c r="K4" s="61">
        <f t="shared" ref="K4:K14" si="0">MIN(C4:J4)</f>
        <v>2.0525000000000002</v>
      </c>
      <c r="L4" s="61">
        <f t="shared" ref="L4:L13" si="1">MAX(C4:J4)</f>
        <v>2.0529000000000002</v>
      </c>
      <c r="M4" s="61">
        <f>MODE(C4:J4)</f>
        <v>2.0529000000000002</v>
      </c>
      <c r="N4" s="61">
        <f t="shared" ref="N4:N12" si="2">K4-M4</f>
        <v>-3.9999999999995595E-4</v>
      </c>
      <c r="O4" s="61">
        <f t="shared" ref="O4:O12" si="3">L4-M4</f>
        <v>0</v>
      </c>
      <c r="Q4" s="61">
        <f t="shared" ref="Q4:X10" si="4">C4-C$7</f>
        <v>4.5000000000001705E-3</v>
      </c>
      <c r="R4" s="61">
        <f t="shared" si="4"/>
        <v>4.750000000000032E-3</v>
      </c>
      <c r="S4" s="61">
        <f t="shared" si="4"/>
        <v>4.5000000000001705E-3</v>
      </c>
      <c r="T4" s="61">
        <f t="shared" si="4"/>
        <v>4.5999999999999375E-3</v>
      </c>
      <c r="U4" s="61">
        <f t="shared" si="4"/>
        <v>4.1500000000000981E-3</v>
      </c>
      <c r="V4" s="61">
        <f t="shared" si="4"/>
        <v>4.3000000000001926E-3</v>
      </c>
      <c r="W4" s="61">
        <f t="shared" si="4"/>
        <v>4.5000000000001705E-3</v>
      </c>
      <c r="X4" s="61">
        <f t="shared" si="4"/>
        <v>4.7000000000001485E-3</v>
      </c>
      <c r="Y4" s="61">
        <f t="shared" ref="Y4:Y10" si="5">MIN(Q4:X4)</f>
        <v>4.1500000000000981E-3</v>
      </c>
      <c r="Z4" s="61">
        <f t="shared" ref="Z4:Z10" si="6">MAX(Q4:X4)</f>
        <v>4.750000000000032E-3</v>
      </c>
      <c r="AA4" s="61">
        <f>MODE(Q4:X4)</f>
        <v>4.5000000000001705E-3</v>
      </c>
      <c r="AB4" s="61">
        <f t="shared" ref="AB4:AB11" si="7">Y4-AA4</f>
        <v>-3.5000000000007248E-4</v>
      </c>
      <c r="AC4" s="61">
        <f t="shared" ref="AC4:AC11" si="8">Z4-AA4</f>
        <v>2.4999999999986144E-4</v>
      </c>
    </row>
    <row r="5" spans="1:29" ht="15" customHeight="1" x14ac:dyDescent="0.25">
      <c r="A5" s="61">
        <v>19.75</v>
      </c>
      <c r="C5" s="61">
        <v>2.0504500000000001</v>
      </c>
      <c r="D5" s="61">
        <v>2.0503499999999999</v>
      </c>
      <c r="E5" s="61">
        <v>2.0503499999999999</v>
      </c>
      <c r="F5" s="61">
        <v>2.0501999999999998</v>
      </c>
      <c r="G5" s="61">
        <v>2.0501</v>
      </c>
      <c r="H5" s="61">
        <v>2.0501999999999998</v>
      </c>
      <c r="I5" s="61">
        <v>2.0503499999999999</v>
      </c>
      <c r="J5" s="61">
        <v>2.0503499999999999</v>
      </c>
      <c r="K5" s="61">
        <f t="shared" si="0"/>
        <v>2.0501</v>
      </c>
      <c r="L5" s="61">
        <f t="shared" si="1"/>
        <v>2.0504500000000001</v>
      </c>
      <c r="M5" s="61">
        <f t="shared" ref="M5:M12" si="9">MODE(C5:J5)</f>
        <v>2.0503499999999999</v>
      </c>
      <c r="N5" s="61">
        <f t="shared" si="2"/>
        <v>-2.4999999999986144E-4</v>
      </c>
      <c r="O5" s="61">
        <f t="shared" si="3"/>
        <v>1.0000000000021103E-4</v>
      </c>
      <c r="Q5" s="61">
        <f t="shared" si="4"/>
        <v>2.1500000000003183E-3</v>
      </c>
      <c r="R5" s="61">
        <f t="shared" si="4"/>
        <v>2.1999999999997577E-3</v>
      </c>
      <c r="S5" s="61">
        <f t="shared" si="4"/>
        <v>1.9499999999998963E-3</v>
      </c>
      <c r="T5" s="61">
        <f t="shared" si="4"/>
        <v>1.9999999999997797E-3</v>
      </c>
      <c r="U5" s="61">
        <f t="shared" si="4"/>
        <v>1.7499999999999183E-3</v>
      </c>
      <c r="V5" s="61">
        <f t="shared" si="4"/>
        <v>1.9000000000000128E-3</v>
      </c>
      <c r="W5" s="61">
        <f t="shared" si="4"/>
        <v>2.1499999999998742E-3</v>
      </c>
      <c r="X5" s="61">
        <f t="shared" si="4"/>
        <v>2.1499999999998742E-3</v>
      </c>
      <c r="Y5" s="61">
        <f t="shared" si="5"/>
        <v>1.7499999999999183E-3</v>
      </c>
      <c r="Z5" s="61">
        <f t="shared" si="6"/>
        <v>2.1999999999997577E-3</v>
      </c>
      <c r="AA5" s="61">
        <f t="shared" ref="AA5:AA10" si="10">MODE(Q5:X5)</f>
        <v>2.1499999999998742E-3</v>
      </c>
      <c r="AB5" s="61">
        <f t="shared" si="7"/>
        <v>-3.9999999999995595E-4</v>
      </c>
      <c r="AC5" s="61">
        <f t="shared" si="8"/>
        <v>4.9999999999883471E-5</v>
      </c>
    </row>
    <row r="6" spans="1:29" ht="15" customHeight="1" x14ac:dyDescent="0.25">
      <c r="A6" s="61">
        <v>45</v>
      </c>
      <c r="C6" s="61">
        <v>2.0489999999999999</v>
      </c>
      <c r="D6" s="61">
        <v>2.0488</v>
      </c>
      <c r="E6" s="61">
        <v>2.0488</v>
      </c>
      <c r="F6" s="61">
        <v>2.0491999999999999</v>
      </c>
      <c r="G6" s="61">
        <v>2.0487000000000002</v>
      </c>
      <c r="H6" s="61">
        <v>2.0489000000000002</v>
      </c>
      <c r="I6" s="61">
        <v>2.0488</v>
      </c>
      <c r="J6" s="61">
        <v>2.0489000000000002</v>
      </c>
      <c r="K6" s="61">
        <f t="shared" si="0"/>
        <v>2.0487000000000002</v>
      </c>
      <c r="L6" s="61">
        <f t="shared" si="1"/>
        <v>2.0491999999999999</v>
      </c>
      <c r="M6" s="61">
        <f t="shared" si="9"/>
        <v>2.0488</v>
      </c>
      <c r="N6" s="61">
        <f t="shared" si="2"/>
        <v>-9.9999999999766942E-5</v>
      </c>
      <c r="O6" s="61">
        <f t="shared" si="3"/>
        <v>3.9999999999995595E-4</v>
      </c>
      <c r="Q6" s="61">
        <f t="shared" si="4"/>
        <v>7.0000000000014495E-4</v>
      </c>
      <c r="R6" s="61">
        <f t="shared" si="4"/>
        <v>6.4999999999981739E-4</v>
      </c>
      <c r="S6" s="61">
        <f t="shared" si="4"/>
        <v>3.9999999999995595E-4</v>
      </c>
      <c r="T6" s="61">
        <f t="shared" si="4"/>
        <v>9.9999999999988987E-4</v>
      </c>
      <c r="U6" s="61">
        <f t="shared" si="4"/>
        <v>3.5000000000007248E-4</v>
      </c>
      <c r="V6" s="61">
        <f t="shared" si="4"/>
        <v>6.0000000000037801E-4</v>
      </c>
      <c r="W6" s="61">
        <f t="shared" si="4"/>
        <v>5.9999999999993392E-4</v>
      </c>
      <c r="X6" s="61">
        <f t="shared" si="4"/>
        <v>7.0000000000014495E-4</v>
      </c>
      <c r="Y6" s="61">
        <f t="shared" si="5"/>
        <v>3.5000000000007248E-4</v>
      </c>
      <c r="Z6" s="61">
        <f t="shared" si="6"/>
        <v>9.9999999999988987E-4</v>
      </c>
      <c r="AA6" s="61">
        <f t="shared" si="10"/>
        <v>7.0000000000014495E-4</v>
      </c>
      <c r="AB6" s="61">
        <f t="shared" si="7"/>
        <v>-3.5000000000007248E-4</v>
      </c>
      <c r="AC6" s="61">
        <f t="shared" si="8"/>
        <v>2.9999999999974492E-4</v>
      </c>
    </row>
    <row r="7" spans="1:29" ht="15" customHeight="1" x14ac:dyDescent="0.25">
      <c r="A7" s="61">
        <v>90</v>
      </c>
      <c r="C7" s="61">
        <v>2.0482999999999998</v>
      </c>
      <c r="D7" s="61">
        <v>2.0481500000000001</v>
      </c>
      <c r="E7" s="61">
        <v>2.0484</v>
      </c>
      <c r="F7" s="61">
        <v>2.0482</v>
      </c>
      <c r="G7" s="61">
        <v>2.0483500000000001</v>
      </c>
      <c r="H7" s="61">
        <v>2.0482999999999998</v>
      </c>
      <c r="I7" s="61">
        <v>2.0482</v>
      </c>
      <c r="J7" s="61">
        <v>2.0482</v>
      </c>
      <c r="K7" s="61">
        <f t="shared" si="0"/>
        <v>2.0481500000000001</v>
      </c>
      <c r="L7" s="61">
        <f t="shared" si="1"/>
        <v>2.0484</v>
      </c>
      <c r="M7" s="61">
        <f t="shared" si="9"/>
        <v>2.0482</v>
      </c>
      <c r="N7" s="61">
        <f t="shared" si="2"/>
        <v>-4.9999999999883471E-5</v>
      </c>
      <c r="O7" s="61">
        <f t="shared" si="3"/>
        <v>1.9999999999997797E-4</v>
      </c>
      <c r="Q7" s="61">
        <f>C7-C$7</f>
        <v>0</v>
      </c>
      <c r="R7" s="61">
        <f t="shared" si="4"/>
        <v>0</v>
      </c>
      <c r="S7" s="61">
        <f t="shared" si="4"/>
        <v>0</v>
      </c>
      <c r="T7" s="61">
        <f t="shared" si="4"/>
        <v>0</v>
      </c>
      <c r="U7" s="61">
        <f t="shared" si="4"/>
        <v>0</v>
      </c>
      <c r="V7" s="61">
        <f t="shared" si="4"/>
        <v>0</v>
      </c>
      <c r="W7" s="61">
        <f t="shared" si="4"/>
        <v>0</v>
      </c>
      <c r="X7" s="61">
        <f t="shared" si="4"/>
        <v>0</v>
      </c>
      <c r="Y7" s="61">
        <f t="shared" si="5"/>
        <v>0</v>
      </c>
      <c r="Z7" s="61">
        <f t="shared" si="6"/>
        <v>0</v>
      </c>
      <c r="AA7" s="61">
        <f t="shared" si="10"/>
        <v>0</v>
      </c>
      <c r="AB7" s="61">
        <f t="shared" si="7"/>
        <v>0</v>
      </c>
      <c r="AC7" s="61">
        <f t="shared" si="8"/>
        <v>0</v>
      </c>
    </row>
    <row r="8" spans="1:29" ht="15" customHeight="1" x14ac:dyDescent="0.25">
      <c r="A8" s="61">
        <v>135</v>
      </c>
      <c r="C8" s="61">
        <v>2.0489999999999999</v>
      </c>
      <c r="D8" s="61">
        <v>2.0489000000000002</v>
      </c>
      <c r="E8" s="61">
        <v>2.0489999999999999</v>
      </c>
      <c r="F8" s="61">
        <v>2.0488499999999998</v>
      </c>
      <c r="G8" s="61">
        <v>2.0489999999999999</v>
      </c>
      <c r="H8" s="61">
        <v>2.0489000000000002</v>
      </c>
      <c r="I8" s="61">
        <v>2.0489000000000002</v>
      </c>
      <c r="J8" s="61">
        <v>2.0488499999999998</v>
      </c>
      <c r="K8" s="61">
        <f t="shared" si="0"/>
        <v>2.0488499999999998</v>
      </c>
      <c r="L8" s="61">
        <f t="shared" si="1"/>
        <v>2.0489999999999999</v>
      </c>
      <c r="M8" s="61">
        <f t="shared" si="9"/>
        <v>2.0489999999999999</v>
      </c>
      <c r="N8" s="61">
        <f t="shared" si="2"/>
        <v>-1.500000000000945E-4</v>
      </c>
      <c r="O8" s="61">
        <f t="shared" si="3"/>
        <v>0</v>
      </c>
      <c r="Q8" s="61">
        <f t="shared" si="4"/>
        <v>7.0000000000014495E-4</v>
      </c>
      <c r="R8" s="61">
        <f t="shared" si="4"/>
        <v>7.5000000000002842E-4</v>
      </c>
      <c r="S8" s="61">
        <f t="shared" si="4"/>
        <v>5.9999999999993392E-4</v>
      </c>
      <c r="T8" s="61">
        <f t="shared" si="4"/>
        <v>6.4999999999981739E-4</v>
      </c>
      <c r="U8" s="61">
        <f t="shared" si="4"/>
        <v>6.4999999999981739E-4</v>
      </c>
      <c r="V8" s="61">
        <f t="shared" si="4"/>
        <v>6.0000000000037801E-4</v>
      </c>
      <c r="W8" s="61">
        <f t="shared" si="4"/>
        <v>7.0000000000014495E-4</v>
      </c>
      <c r="X8" s="61">
        <f t="shared" si="4"/>
        <v>6.4999999999981739E-4</v>
      </c>
      <c r="Y8" s="61">
        <f t="shared" si="5"/>
        <v>5.9999999999993392E-4</v>
      </c>
      <c r="Z8" s="61">
        <f t="shared" si="6"/>
        <v>7.5000000000002842E-4</v>
      </c>
      <c r="AA8" s="61">
        <f t="shared" si="10"/>
        <v>6.4999999999981739E-4</v>
      </c>
      <c r="AB8" s="61">
        <f t="shared" si="7"/>
        <v>-4.9999999999883471E-5</v>
      </c>
      <c r="AC8" s="61">
        <f t="shared" si="8"/>
        <v>1.0000000000021103E-4</v>
      </c>
    </row>
    <row r="9" spans="1:29" ht="15" customHeight="1" x14ac:dyDescent="0.25">
      <c r="A9" s="61">
        <v>160.25</v>
      </c>
      <c r="C9" s="61">
        <v>2.0503499999999999</v>
      </c>
      <c r="D9" s="61">
        <v>2.0504500000000001</v>
      </c>
      <c r="E9" s="61">
        <v>2.0503499999999999</v>
      </c>
      <c r="F9" s="61">
        <v>2.0501999999999998</v>
      </c>
      <c r="G9" s="61">
        <v>2.0503999999999998</v>
      </c>
      <c r="H9" s="61">
        <v>2.0503999999999998</v>
      </c>
      <c r="I9" s="61">
        <v>2.0503499999999999</v>
      </c>
      <c r="J9" s="61">
        <v>2.0501999999999998</v>
      </c>
      <c r="K9" s="61">
        <f t="shared" si="0"/>
        <v>2.0501999999999998</v>
      </c>
      <c r="L9" s="61">
        <f t="shared" si="1"/>
        <v>2.0504500000000001</v>
      </c>
      <c r="M9" s="61">
        <f t="shared" si="9"/>
        <v>2.0503499999999999</v>
      </c>
      <c r="N9" s="61">
        <f t="shared" si="2"/>
        <v>-1.500000000000945E-4</v>
      </c>
      <c r="O9" s="61">
        <f t="shared" si="3"/>
        <v>1.0000000000021103E-4</v>
      </c>
      <c r="Q9" s="61">
        <f t="shared" si="4"/>
        <v>2.0500000000001073E-3</v>
      </c>
      <c r="R9" s="61">
        <f t="shared" si="4"/>
        <v>2.2999999999999687E-3</v>
      </c>
      <c r="S9" s="61">
        <f t="shared" si="4"/>
        <v>1.9499999999998963E-3</v>
      </c>
      <c r="T9" s="61">
        <f t="shared" si="4"/>
        <v>1.9999999999997797E-3</v>
      </c>
      <c r="U9" s="61">
        <f t="shared" si="4"/>
        <v>2.0499999999996632E-3</v>
      </c>
      <c r="V9" s="61">
        <f t="shared" si="4"/>
        <v>2.0999999999999908E-3</v>
      </c>
      <c r="W9" s="61">
        <f t="shared" si="4"/>
        <v>2.1499999999998742E-3</v>
      </c>
      <c r="X9" s="61">
        <f t="shared" si="4"/>
        <v>1.9999999999997797E-3</v>
      </c>
      <c r="Y9" s="61">
        <f t="shared" si="5"/>
        <v>1.9499999999998963E-3</v>
      </c>
      <c r="Z9" s="61">
        <f t="shared" si="6"/>
        <v>2.2999999999999687E-3</v>
      </c>
      <c r="AA9" s="61">
        <f t="shared" si="10"/>
        <v>1.9999999999997797E-3</v>
      </c>
      <c r="AB9" s="61">
        <f t="shared" si="7"/>
        <v>-4.9999999999883471E-5</v>
      </c>
      <c r="AC9" s="61">
        <f t="shared" si="8"/>
        <v>3.00000000000189E-4</v>
      </c>
    </row>
    <row r="10" spans="1:29" ht="15" customHeight="1" x14ac:dyDescent="0.25">
      <c r="A10" s="61">
        <v>175</v>
      </c>
      <c r="C10" s="61">
        <v>2.0528</v>
      </c>
      <c r="D10" s="61">
        <v>2.0529999999999999</v>
      </c>
      <c r="E10" s="61">
        <v>2.0527000000000002</v>
      </c>
      <c r="F10" s="61">
        <v>2.0528</v>
      </c>
      <c r="G10" s="61">
        <v>2.0528499999999998</v>
      </c>
      <c r="H10" s="61">
        <v>2.0529000000000002</v>
      </c>
      <c r="I10" s="61">
        <v>2.0528499999999998</v>
      </c>
      <c r="J10" s="61">
        <v>2.0529999999999999</v>
      </c>
      <c r="K10" s="61">
        <f t="shared" si="0"/>
        <v>2.0527000000000002</v>
      </c>
      <c r="L10" s="61">
        <f t="shared" si="1"/>
        <v>2.0529999999999999</v>
      </c>
      <c r="M10" s="61">
        <f t="shared" si="9"/>
        <v>2.0528</v>
      </c>
      <c r="N10" s="61">
        <f t="shared" si="2"/>
        <v>-9.9999999999766942E-5</v>
      </c>
      <c r="O10" s="61">
        <f t="shared" si="3"/>
        <v>1.9999999999997797E-4</v>
      </c>
      <c r="Q10" s="61">
        <f t="shared" si="4"/>
        <v>4.5000000000001705E-3</v>
      </c>
      <c r="R10" s="61">
        <f t="shared" si="4"/>
        <v>4.8499999999997989E-3</v>
      </c>
      <c r="S10" s="61">
        <f t="shared" si="4"/>
        <v>4.3000000000001926E-3</v>
      </c>
      <c r="T10" s="61">
        <f t="shared" si="4"/>
        <v>4.5999999999999375E-3</v>
      </c>
      <c r="U10" s="61">
        <f t="shared" si="4"/>
        <v>4.4999999999997264E-3</v>
      </c>
      <c r="V10" s="61">
        <f t="shared" si="4"/>
        <v>4.6000000000003816E-3</v>
      </c>
      <c r="W10" s="61">
        <f t="shared" si="4"/>
        <v>4.6499999999998209E-3</v>
      </c>
      <c r="X10" s="61">
        <f t="shared" si="4"/>
        <v>4.7999999999999154E-3</v>
      </c>
      <c r="Y10" s="61">
        <f t="shared" si="5"/>
        <v>4.3000000000001926E-3</v>
      </c>
      <c r="Z10" s="61">
        <f t="shared" si="6"/>
        <v>4.8499999999997989E-3</v>
      </c>
      <c r="AA10" s="61">
        <f>AVERAGE(Q10:X10)</f>
        <v>4.599999999999993E-3</v>
      </c>
      <c r="AB10" s="61">
        <f t="shared" si="7"/>
        <v>-2.9999999999980043E-4</v>
      </c>
      <c r="AC10" s="61">
        <f t="shared" si="8"/>
        <v>2.4999999999980593E-4</v>
      </c>
    </row>
    <row r="11" spans="1:29" ht="15" customHeight="1" x14ac:dyDescent="0.25">
      <c r="A11" s="61" t="s">
        <v>310</v>
      </c>
      <c r="B11" s="9" t="s">
        <v>266</v>
      </c>
      <c r="C11" s="61">
        <v>7.8649999999999998E-2</v>
      </c>
      <c r="D11" s="61">
        <v>7.8649999999999998E-2</v>
      </c>
      <c r="E11" s="61">
        <v>7.8700000000000006E-2</v>
      </c>
      <c r="F11" s="61">
        <v>7.8649999999999998E-2</v>
      </c>
      <c r="G11" s="61">
        <v>7.8649999999999998E-2</v>
      </c>
      <c r="H11" s="61">
        <v>7.8649999999999998E-2</v>
      </c>
      <c r="I11" s="61">
        <v>7.8649999999999998E-2</v>
      </c>
      <c r="J11" s="61">
        <v>7.8700000000000006E-2</v>
      </c>
      <c r="K11" s="61">
        <f t="shared" si="0"/>
        <v>7.8649999999999998E-2</v>
      </c>
      <c r="L11" s="61">
        <f t="shared" si="1"/>
        <v>7.8700000000000006E-2</v>
      </c>
      <c r="M11" s="61">
        <f t="shared" si="9"/>
        <v>7.8649999999999998E-2</v>
      </c>
      <c r="N11" s="61">
        <f t="shared" si="2"/>
        <v>0</v>
      </c>
      <c r="O11" s="61">
        <f t="shared" si="3"/>
        <v>5.0000000000008371E-5</v>
      </c>
      <c r="Y11" s="61">
        <f>MIN(Q5:X5,Q9:X9)</f>
        <v>1.7499999999999183E-3</v>
      </c>
      <c r="Z11" s="61">
        <f>MAX(Q5:X5,Q9:X9)</f>
        <v>2.2999999999999687E-3</v>
      </c>
      <c r="AA11" s="61">
        <f>MODE(Q5:X5,Q9:X9)</f>
        <v>1.9999999999997797E-3</v>
      </c>
      <c r="AB11" s="61">
        <f t="shared" si="7"/>
        <v>-2.4999999999986144E-4</v>
      </c>
      <c r="AC11" s="61">
        <f t="shared" si="8"/>
        <v>3.00000000000189E-4</v>
      </c>
    </row>
    <row r="12" spans="1:29" ht="15" customHeight="1" x14ac:dyDescent="0.25">
      <c r="A12" s="61" t="s">
        <v>310</v>
      </c>
      <c r="B12" s="9" t="s">
        <v>267</v>
      </c>
      <c r="C12" s="61">
        <v>7.85E-2</v>
      </c>
      <c r="D12" s="61">
        <v>7.8549999999999995E-2</v>
      </c>
      <c r="E12" s="61">
        <v>7.85E-2</v>
      </c>
      <c r="F12" s="61">
        <v>7.85E-2</v>
      </c>
      <c r="G12" s="61">
        <v>7.8549999999999995E-2</v>
      </c>
      <c r="H12" s="61">
        <v>7.8549999999999995E-2</v>
      </c>
      <c r="I12" s="61">
        <v>7.85E-2</v>
      </c>
      <c r="J12" s="61">
        <v>7.85E-2</v>
      </c>
      <c r="K12" s="61">
        <f t="shared" si="0"/>
        <v>7.85E-2</v>
      </c>
      <c r="L12" s="61">
        <f t="shared" si="1"/>
        <v>7.8549999999999995E-2</v>
      </c>
      <c r="M12" s="61">
        <f t="shared" si="9"/>
        <v>7.85E-2</v>
      </c>
      <c r="N12" s="61">
        <f t="shared" si="2"/>
        <v>0</v>
      </c>
      <c r="O12" s="61">
        <f t="shared" si="3"/>
        <v>4.9999999999994493E-5</v>
      </c>
    </row>
    <row r="13" spans="1:29" ht="15" customHeight="1" x14ac:dyDescent="0.25">
      <c r="A13" s="61" t="s">
        <v>274</v>
      </c>
      <c r="C13" s="61">
        <f>C7-'Rod Journals'!$M$2</f>
        <v>1.7999999999998018E-3</v>
      </c>
      <c r="D13" s="61">
        <f>D7-'Rod Journals'!$M$2</f>
        <v>1.6500000000001513E-3</v>
      </c>
      <c r="E13" s="61">
        <f>E7-'Rod Journals'!$M$2</f>
        <v>1.9000000000000128E-3</v>
      </c>
      <c r="F13" s="61">
        <f>F7-'Rod Journals'!$M$2</f>
        <v>1.7000000000000348E-3</v>
      </c>
      <c r="G13" s="61">
        <f>G7-'Rod Journals'!$M$2</f>
        <v>1.8500000000001293E-3</v>
      </c>
      <c r="H13" s="61">
        <f>H7-'Rod Journals'!$M$2</f>
        <v>1.7999999999998018E-3</v>
      </c>
      <c r="I13" s="61">
        <f>I7-'Rod Journals'!$M$2</f>
        <v>1.7000000000000348E-3</v>
      </c>
      <c r="J13" s="61">
        <f>J7-'Rod Journals'!$M$2</f>
        <v>1.7000000000000348E-3</v>
      </c>
      <c r="K13" s="61">
        <f t="shared" si="0"/>
        <v>1.6500000000001513E-3</v>
      </c>
      <c r="L13" s="61">
        <f t="shared" si="1"/>
        <v>1.9000000000000128E-3</v>
      </c>
      <c r="M13" s="61">
        <f>MODE(C13:J13)</f>
        <v>1.7000000000000348E-3</v>
      </c>
      <c r="N13" s="61">
        <f>MIN(C14:J14)-M13</f>
        <v>-3.5000000000007248E-4</v>
      </c>
      <c r="O13" s="61">
        <f>MAX(C15:J15)-M13</f>
        <v>2.9999999999974492E-4</v>
      </c>
    </row>
    <row r="14" spans="1:29" ht="15" customHeight="1" x14ac:dyDescent="0.25">
      <c r="A14" s="61" t="s">
        <v>275</v>
      </c>
      <c r="C14" s="61">
        <f>C7-'Rod Journals'!$L$2</f>
        <v>1.4999999999996128E-3</v>
      </c>
      <c r="D14" s="61">
        <f>D7-'Rod Journals'!$L$2</f>
        <v>1.3499999999999623E-3</v>
      </c>
      <c r="E14" s="61">
        <f>E7-'Rod Journals'!$L$2</f>
        <v>1.5999999999998238E-3</v>
      </c>
      <c r="F14" s="61">
        <f>F7-'Rod Journals'!$L$2</f>
        <v>1.3999999999998458E-3</v>
      </c>
      <c r="G14" s="61">
        <f>G7-'Rod Journals'!$L$2</f>
        <v>1.5499999999999403E-3</v>
      </c>
      <c r="H14" s="61">
        <f>H7-'Rod Journals'!$L$2</f>
        <v>1.4999999999996128E-3</v>
      </c>
      <c r="I14" s="61">
        <f>I7-'Rod Journals'!$L$2</f>
        <v>1.3999999999998458E-3</v>
      </c>
      <c r="J14" s="61">
        <f>J7-'Rod Journals'!$L$2</f>
        <v>1.3999999999998458E-3</v>
      </c>
      <c r="K14" s="61">
        <f t="shared" si="0"/>
        <v>1.3499999999999623E-3</v>
      </c>
    </row>
    <row r="15" spans="1:29" ht="15" customHeight="1" x14ac:dyDescent="0.25">
      <c r="A15" s="61" t="s">
        <v>276</v>
      </c>
      <c r="C15" s="61">
        <f>C7-'Rod Journals'!$K$2</f>
        <v>1.8999999999995687E-3</v>
      </c>
      <c r="D15" s="61">
        <f>D7-'Rod Journals'!$K$2</f>
        <v>1.7499999999999183E-3</v>
      </c>
      <c r="E15" s="61">
        <f>E7-'Rod Journals'!$K$2</f>
        <v>1.9999999999997797E-3</v>
      </c>
      <c r="F15" s="61">
        <f>F7-'Rod Journals'!$K$2</f>
        <v>1.7999999999998018E-3</v>
      </c>
      <c r="G15" s="61">
        <f>G7-'Rod Journals'!$K$2</f>
        <v>1.9499999999998963E-3</v>
      </c>
      <c r="H15" s="61">
        <f>H7-'Rod Journals'!$K$2</f>
        <v>1.8999999999995687E-3</v>
      </c>
      <c r="I15" s="61">
        <f>I7-'Rod Journals'!$K$2</f>
        <v>1.7999999999998018E-3</v>
      </c>
      <c r="J15" s="61">
        <f>J7-'Rod Journals'!$K$2</f>
        <v>1.7999999999998018E-3</v>
      </c>
      <c r="L15" s="61">
        <f>MAX(C15:J15)</f>
        <v>1.9999999999997797E-3</v>
      </c>
    </row>
  </sheetData>
  <mergeCells count="1">
    <mergeCell ref="Q2:X2"/>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MK18"/>
  <sheetViews>
    <sheetView zoomScaleNormal="100" workbookViewId="0"/>
  </sheetViews>
  <sheetFormatPr defaultRowHeight="15" x14ac:dyDescent="0.25"/>
  <cols>
    <col min="1" max="1" width="15.5703125" style="42"/>
    <col min="2" max="2" width="35.85546875" style="42"/>
    <col min="3" max="3" width="8.42578125" style="42"/>
    <col min="4" max="4" width="5.7109375" style="42"/>
    <col min="5" max="5" width="23" style="42"/>
    <col min="6" max="6" width="23.5703125" style="42"/>
    <col min="7" max="7" width="15.85546875" style="43"/>
    <col min="8" max="8" width="15" style="43"/>
    <col min="9" max="9" width="14.28515625" style="42"/>
    <col min="10" max="1025" width="9.140625" style="44"/>
  </cols>
  <sheetData>
    <row r="1" spans="1:9" s="47" customFormat="1" ht="18" customHeight="1" x14ac:dyDescent="0.25">
      <c r="A1" s="45"/>
      <c r="B1" s="45" t="s">
        <v>242</v>
      </c>
      <c r="C1" s="45"/>
      <c r="D1" s="45"/>
      <c r="E1" s="45"/>
      <c r="F1" s="45"/>
      <c r="G1" s="46"/>
      <c r="H1" s="46"/>
      <c r="I1" s="45"/>
    </row>
    <row r="2" spans="1:9" ht="12.75" customHeight="1" x14ac:dyDescent="0.25">
      <c r="A2" s="48" t="s">
        <v>155</v>
      </c>
      <c r="B2" s="48" t="s">
        <v>156</v>
      </c>
      <c r="C2" s="48" t="s">
        <v>182</v>
      </c>
      <c r="D2" s="48" t="s">
        <v>183</v>
      </c>
      <c r="E2" s="48" t="s">
        <v>184</v>
      </c>
      <c r="F2" s="48" t="s">
        <v>159</v>
      </c>
      <c r="G2" s="49" t="s">
        <v>160</v>
      </c>
      <c r="H2" s="49" t="s">
        <v>161</v>
      </c>
      <c r="I2" s="48" t="s">
        <v>162</v>
      </c>
    </row>
    <row r="3" spans="1:9" ht="12.75" customHeight="1" x14ac:dyDescent="0.25">
      <c r="A3" s="42" t="s">
        <v>243</v>
      </c>
      <c r="B3" s="42" t="s">
        <v>244</v>
      </c>
      <c r="C3" s="42" t="s">
        <v>195</v>
      </c>
      <c r="D3" s="42" t="s">
        <v>245</v>
      </c>
      <c r="E3" s="42" t="s">
        <v>246</v>
      </c>
      <c r="F3" s="42" t="s">
        <v>167</v>
      </c>
      <c r="G3" s="43">
        <v>38078</v>
      </c>
      <c r="H3" s="43">
        <v>38078</v>
      </c>
      <c r="I3" s="42" t="s">
        <v>247</v>
      </c>
    </row>
    <row r="4" spans="1:9" s="55" customFormat="1" ht="12.75" customHeight="1" x14ac:dyDescent="0.2">
      <c r="A4" s="53" t="s">
        <v>248</v>
      </c>
      <c r="B4" s="53" t="s">
        <v>244</v>
      </c>
      <c r="C4" s="53" t="s">
        <v>187</v>
      </c>
      <c r="D4" s="53" t="s">
        <v>249</v>
      </c>
      <c r="E4" s="53" t="s">
        <v>246</v>
      </c>
      <c r="F4" s="53" t="s">
        <v>167</v>
      </c>
      <c r="G4" s="54">
        <v>38078</v>
      </c>
      <c r="H4" s="54">
        <v>38078</v>
      </c>
      <c r="I4" s="53" t="s">
        <v>250</v>
      </c>
    </row>
    <row r="5" spans="1:9" ht="12.75" customHeight="1" x14ac:dyDescent="0.25">
      <c r="A5" s="42" t="s">
        <v>247</v>
      </c>
      <c r="B5" s="42" t="s">
        <v>244</v>
      </c>
      <c r="C5" s="42" t="s">
        <v>195</v>
      </c>
      <c r="D5" s="42" t="s">
        <v>245</v>
      </c>
      <c r="E5" s="42" t="s">
        <v>246</v>
      </c>
      <c r="F5" s="42" t="s">
        <v>167</v>
      </c>
      <c r="G5" s="43">
        <v>38231</v>
      </c>
      <c r="H5" s="43">
        <v>39173</v>
      </c>
      <c r="I5" s="42" t="s">
        <v>251</v>
      </c>
    </row>
    <row r="6" spans="1:9" s="55" customFormat="1" ht="12.75" customHeight="1" x14ac:dyDescent="0.2">
      <c r="A6" s="53" t="s">
        <v>250</v>
      </c>
      <c r="B6" s="53" t="s">
        <v>244</v>
      </c>
      <c r="C6" s="53" t="s">
        <v>187</v>
      </c>
      <c r="D6" s="53" t="s">
        <v>249</v>
      </c>
      <c r="E6" s="53" t="s">
        <v>246</v>
      </c>
      <c r="F6" s="53" t="s">
        <v>167</v>
      </c>
      <c r="G6" s="54">
        <v>38231</v>
      </c>
      <c r="H6" s="54">
        <v>39203</v>
      </c>
      <c r="I6" s="53" t="s">
        <v>252</v>
      </c>
    </row>
    <row r="7" spans="1:9" ht="12.75" customHeight="1" x14ac:dyDescent="0.25">
      <c r="A7" s="42" t="s">
        <v>251</v>
      </c>
      <c r="B7" s="42" t="s">
        <v>244</v>
      </c>
      <c r="C7" s="42" t="s">
        <v>195</v>
      </c>
      <c r="D7" s="42" t="s">
        <v>245</v>
      </c>
      <c r="E7" s="42" t="s">
        <v>246</v>
      </c>
      <c r="F7" s="42" t="s">
        <v>199</v>
      </c>
      <c r="G7" s="43">
        <v>38749</v>
      </c>
      <c r="H7" s="43">
        <v>40817</v>
      </c>
      <c r="I7" s="42" t="s">
        <v>253</v>
      </c>
    </row>
    <row r="8" spans="1:9" s="55" customFormat="1" ht="12.75" customHeight="1" x14ac:dyDescent="0.2">
      <c r="A8" s="53" t="s">
        <v>252</v>
      </c>
      <c r="B8" s="53" t="s">
        <v>244</v>
      </c>
      <c r="C8" s="53" t="s">
        <v>187</v>
      </c>
      <c r="D8" s="53" t="s">
        <v>249</v>
      </c>
      <c r="E8" s="53" t="s">
        <v>246</v>
      </c>
      <c r="F8" s="53" t="s">
        <v>199</v>
      </c>
      <c r="G8" s="54">
        <v>38749</v>
      </c>
      <c r="H8" s="54">
        <v>40603</v>
      </c>
      <c r="I8" s="53" t="s">
        <v>254</v>
      </c>
    </row>
    <row r="9" spans="1:9" ht="12.75" customHeight="1" x14ac:dyDescent="0.25">
      <c r="A9" s="42" t="s">
        <v>253</v>
      </c>
      <c r="B9" s="42" t="s">
        <v>244</v>
      </c>
      <c r="C9" s="42" t="s">
        <v>195</v>
      </c>
      <c r="D9" s="42" t="s">
        <v>245</v>
      </c>
      <c r="E9" s="42" t="s">
        <v>246</v>
      </c>
      <c r="F9" s="42" t="s">
        <v>199</v>
      </c>
      <c r="G9" s="43">
        <v>40330</v>
      </c>
      <c r="H9" s="43" t="s">
        <v>175</v>
      </c>
    </row>
    <row r="10" spans="1:9" s="55" customFormat="1" ht="12.75" customHeight="1" x14ac:dyDescent="0.2">
      <c r="A10" s="53" t="s">
        <v>254</v>
      </c>
      <c r="B10" s="53" t="s">
        <v>244</v>
      </c>
      <c r="C10" s="53" t="s">
        <v>187</v>
      </c>
      <c r="D10" s="53" t="s">
        <v>249</v>
      </c>
      <c r="E10" s="53" t="s">
        <v>246</v>
      </c>
      <c r="F10" s="53" t="s">
        <v>199</v>
      </c>
      <c r="G10" s="54">
        <v>40330</v>
      </c>
      <c r="H10" s="54" t="s">
        <v>175</v>
      </c>
      <c r="I10" s="53"/>
    </row>
    <row r="12" spans="1:9" ht="12.75" customHeight="1" x14ac:dyDescent="0.25">
      <c r="A12" s="48" t="s">
        <v>155</v>
      </c>
      <c r="B12" s="48" t="s">
        <v>156</v>
      </c>
      <c r="C12" s="48" t="s">
        <v>182</v>
      </c>
      <c r="D12" s="48" t="s">
        <v>183</v>
      </c>
      <c r="E12" s="48" t="s">
        <v>204</v>
      </c>
      <c r="F12" s="48" t="s">
        <v>159</v>
      </c>
      <c r="G12" s="49" t="s">
        <v>160</v>
      </c>
      <c r="H12" s="49" t="s">
        <v>161</v>
      </c>
      <c r="I12" s="48" t="s">
        <v>162</v>
      </c>
    </row>
    <row r="13" spans="1:9" ht="12.75" customHeight="1" x14ac:dyDescent="0.25">
      <c r="A13" s="42" t="s">
        <v>255</v>
      </c>
      <c r="B13" s="42" t="s">
        <v>244</v>
      </c>
      <c r="C13" s="42" t="s">
        <v>195</v>
      </c>
      <c r="D13" s="42" t="s">
        <v>245</v>
      </c>
      <c r="E13" s="42" t="s">
        <v>256</v>
      </c>
      <c r="F13" s="42" t="s">
        <v>167</v>
      </c>
      <c r="G13" s="43">
        <v>38078</v>
      </c>
      <c r="H13" s="43">
        <v>38078</v>
      </c>
      <c r="I13" s="42" t="s">
        <v>257</v>
      </c>
    </row>
    <row r="14" spans="1:9" s="55" customFormat="1" ht="12.75" customHeight="1" x14ac:dyDescent="0.2">
      <c r="A14" s="53" t="s">
        <v>258</v>
      </c>
      <c r="B14" s="53" t="s">
        <v>244</v>
      </c>
      <c r="C14" s="53" t="s">
        <v>187</v>
      </c>
      <c r="D14" s="53" t="s">
        <v>249</v>
      </c>
      <c r="E14" s="53" t="s">
        <v>256</v>
      </c>
      <c r="F14" s="53" t="s">
        <v>167</v>
      </c>
      <c r="G14" s="54">
        <v>38078</v>
      </c>
      <c r="H14" s="54">
        <v>38078</v>
      </c>
      <c r="I14" s="53" t="s">
        <v>259</v>
      </c>
    </row>
    <row r="15" spans="1:9" ht="12.75" customHeight="1" x14ac:dyDescent="0.25">
      <c r="A15" s="42" t="s">
        <v>257</v>
      </c>
      <c r="B15" s="42" t="s">
        <v>244</v>
      </c>
      <c r="C15" s="42" t="s">
        <v>195</v>
      </c>
      <c r="D15" s="42" t="s">
        <v>245</v>
      </c>
      <c r="E15" s="42" t="s">
        <v>256</v>
      </c>
      <c r="F15" s="42" t="s">
        <v>167</v>
      </c>
      <c r="G15" s="43">
        <v>38565</v>
      </c>
      <c r="H15" s="43">
        <v>39417</v>
      </c>
      <c r="I15" s="42" t="s">
        <v>260</v>
      </c>
    </row>
    <row r="16" spans="1:9" s="55" customFormat="1" ht="12.75" customHeight="1" x14ac:dyDescent="0.2">
      <c r="A16" s="53" t="s">
        <v>259</v>
      </c>
      <c r="B16" s="53" t="s">
        <v>244</v>
      </c>
      <c r="C16" s="53" t="s">
        <v>187</v>
      </c>
      <c r="D16" s="53" t="s">
        <v>249</v>
      </c>
      <c r="E16" s="53" t="s">
        <v>256</v>
      </c>
      <c r="F16" s="53" t="s">
        <v>167</v>
      </c>
      <c r="G16" s="54">
        <v>38565</v>
      </c>
      <c r="H16" s="54">
        <v>39417</v>
      </c>
      <c r="I16" s="53" t="s">
        <v>261</v>
      </c>
    </row>
    <row r="17" spans="1:9" ht="12.75" customHeight="1" x14ac:dyDescent="0.25">
      <c r="A17" s="42" t="s">
        <v>260</v>
      </c>
      <c r="B17" s="42" t="s">
        <v>244</v>
      </c>
      <c r="C17" s="42" t="s">
        <v>195</v>
      </c>
      <c r="D17" s="42" t="s">
        <v>245</v>
      </c>
      <c r="E17" s="42" t="s">
        <v>256</v>
      </c>
      <c r="F17" s="42" t="s">
        <v>199</v>
      </c>
      <c r="G17" s="43">
        <v>38596</v>
      </c>
      <c r="H17" s="43" t="s">
        <v>175</v>
      </c>
    </row>
    <row r="18" spans="1:9" s="55" customFormat="1" ht="12.75" customHeight="1" x14ac:dyDescent="0.2">
      <c r="A18" s="53" t="s">
        <v>261</v>
      </c>
      <c r="B18" s="53" t="s">
        <v>244</v>
      </c>
      <c r="C18" s="53" t="s">
        <v>187</v>
      </c>
      <c r="D18" s="53" t="s">
        <v>249</v>
      </c>
      <c r="E18" s="53" t="s">
        <v>256</v>
      </c>
      <c r="F18" s="53" t="s">
        <v>199</v>
      </c>
      <c r="G18" s="54">
        <v>38596</v>
      </c>
      <c r="H18" s="54" t="s">
        <v>175</v>
      </c>
      <c r="I18" s="53"/>
    </row>
  </sheetData>
  <pageMargins left="0.7" right="0.7" top="0.75" bottom="0.75" header="0.51180555555555496" footer="0.51180555555555496"/>
  <pageSetup paperSize="0" scale="0" firstPageNumber="0" orientation="portrait" usePrinterDefaults="0" horizontalDpi="0" verticalDpi="0" copie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C65536"/>
  <sheetViews>
    <sheetView zoomScaleNormal="100" workbookViewId="0">
      <selection activeCell="B40" sqref="B40"/>
    </sheetView>
  </sheetViews>
  <sheetFormatPr defaultRowHeight="15" x14ac:dyDescent="0.25"/>
  <cols>
    <col min="1" max="1" width="48.85546875" style="1"/>
    <col min="2" max="3" width="48.85546875" style="2"/>
    <col min="4" max="1025" width="8.5703125"/>
  </cols>
  <sheetData>
    <row r="1" spans="1:3" ht="15.75" customHeight="1" x14ac:dyDescent="0.25">
      <c r="A1" s="3" t="s">
        <v>1</v>
      </c>
      <c r="B1" s="4" t="s">
        <v>2</v>
      </c>
      <c r="C1" s="5"/>
    </row>
    <row r="2" spans="1:3" ht="15" customHeight="1" x14ac:dyDescent="0.25">
      <c r="A2" s="17" t="s">
        <v>42</v>
      </c>
      <c r="B2" s="18" t="s">
        <v>24</v>
      </c>
      <c r="C2" s="19" t="s">
        <v>25</v>
      </c>
    </row>
    <row r="3" spans="1:3" s="9" customFormat="1" ht="15" customHeight="1" x14ac:dyDescent="0.25">
      <c r="A3" s="29" t="s">
        <v>62</v>
      </c>
      <c r="B3" s="7" t="s">
        <v>63</v>
      </c>
      <c r="C3" s="8" t="s">
        <v>64</v>
      </c>
    </row>
    <row r="4" spans="1:3" s="13" customFormat="1" ht="15" customHeight="1" x14ac:dyDescent="0.25">
      <c r="A4" s="10" t="s">
        <v>65</v>
      </c>
      <c r="B4" s="11" t="s">
        <v>66</v>
      </c>
      <c r="C4" s="12" t="s">
        <v>67</v>
      </c>
    </row>
    <row r="5" spans="1:3" s="9" customFormat="1" ht="15" customHeight="1" x14ac:dyDescent="0.25">
      <c r="A5" s="6" t="s">
        <v>68</v>
      </c>
      <c r="B5" s="7" t="s">
        <v>69</v>
      </c>
      <c r="C5" s="8" t="s">
        <v>70</v>
      </c>
    </row>
    <row r="6" spans="1:3" s="13" customFormat="1" ht="15" customHeight="1" x14ac:dyDescent="0.25">
      <c r="A6" s="10" t="s">
        <v>71</v>
      </c>
      <c r="B6" s="11" t="s">
        <v>72</v>
      </c>
      <c r="C6" s="12" t="s">
        <v>73</v>
      </c>
    </row>
    <row r="7" spans="1:3" s="9" customFormat="1" ht="15" customHeight="1" x14ac:dyDescent="0.25">
      <c r="A7" s="29" t="s">
        <v>74</v>
      </c>
      <c r="B7" s="30" t="s">
        <v>75</v>
      </c>
      <c r="C7" s="30" t="s">
        <v>76</v>
      </c>
    </row>
    <row r="8" spans="1:3" s="13" customFormat="1" ht="15" customHeight="1" x14ac:dyDescent="0.25">
      <c r="A8" s="10" t="s">
        <v>77</v>
      </c>
      <c r="B8" s="11"/>
      <c r="C8" s="12" t="s">
        <v>78</v>
      </c>
    </row>
    <row r="9" spans="1:3" s="9" customFormat="1" ht="15" customHeight="1" x14ac:dyDescent="0.25">
      <c r="A9" s="6" t="s">
        <v>79</v>
      </c>
      <c r="B9" s="7"/>
      <c r="C9" s="8" t="s">
        <v>80</v>
      </c>
    </row>
    <row r="10" spans="1:3" s="13" customFormat="1" ht="15" customHeight="1" x14ac:dyDescent="0.25">
      <c r="A10" s="31" t="s">
        <v>81</v>
      </c>
      <c r="B10" s="32" t="s">
        <v>82</v>
      </c>
      <c r="C10" s="32" t="s">
        <v>83</v>
      </c>
    </row>
    <row r="11" spans="1:3" ht="15" customHeight="1" x14ac:dyDescent="0.25">
      <c r="A11" s="29" t="s">
        <v>84</v>
      </c>
      <c r="B11" s="30" t="s">
        <v>85</v>
      </c>
      <c r="C11" s="30" t="s">
        <v>86</v>
      </c>
    </row>
    <row r="12" spans="1:3" s="13" customFormat="1" ht="15" customHeight="1" x14ac:dyDescent="0.25">
      <c r="A12" s="31" t="s">
        <v>87</v>
      </c>
      <c r="B12" s="32" t="s">
        <v>88</v>
      </c>
      <c r="C12" s="32" t="s">
        <v>89</v>
      </c>
    </row>
    <row r="13" spans="1:3" s="13" customFormat="1" ht="15" customHeight="1" x14ac:dyDescent="0.25">
      <c r="A13" s="6" t="s">
        <v>43</v>
      </c>
      <c r="B13" s="7" t="s">
        <v>44</v>
      </c>
      <c r="C13" s="8" t="s">
        <v>45</v>
      </c>
    </row>
    <row r="14" spans="1:3" s="13" customFormat="1" ht="15" customHeight="1" x14ac:dyDescent="0.25">
      <c r="A14" s="10" t="s">
        <v>46</v>
      </c>
      <c r="B14" s="11" t="s">
        <v>47</v>
      </c>
      <c r="C14" s="12" t="s">
        <v>48</v>
      </c>
    </row>
    <row r="15" spans="1:3" s="13" customFormat="1" ht="15" customHeight="1" x14ac:dyDescent="0.25">
      <c r="A15" s="6" t="s">
        <v>49</v>
      </c>
      <c r="B15" s="7" t="s">
        <v>50</v>
      </c>
      <c r="C15" s="8" t="s">
        <v>51</v>
      </c>
    </row>
    <row r="16" spans="1:3" s="13" customFormat="1" ht="15" customHeight="1" x14ac:dyDescent="0.25">
      <c r="A16" s="10" t="s">
        <v>52</v>
      </c>
      <c r="B16" s="11" t="s">
        <v>53</v>
      </c>
      <c r="C16" s="12" t="s">
        <v>54</v>
      </c>
    </row>
    <row r="17" spans="1:3" s="13" customFormat="1" ht="15" customHeight="1" x14ac:dyDescent="0.25">
      <c r="A17" s="29" t="s">
        <v>55</v>
      </c>
      <c r="B17" s="30" t="s">
        <v>56</v>
      </c>
      <c r="C17" s="30" t="s">
        <v>57</v>
      </c>
    </row>
    <row r="18" spans="1:3" s="13" customFormat="1" ht="15" customHeight="1" x14ac:dyDescent="0.25">
      <c r="A18" s="31" t="s">
        <v>58</v>
      </c>
      <c r="B18" s="32" t="s">
        <v>59</v>
      </c>
      <c r="C18" s="32" t="s">
        <v>60</v>
      </c>
    </row>
    <row r="20" spans="1:3" ht="15.75" customHeight="1" x14ac:dyDescent="0.25">
      <c r="A20" s="3" t="s">
        <v>1</v>
      </c>
      <c r="B20" s="4" t="s">
        <v>2</v>
      </c>
      <c r="C20" s="5"/>
    </row>
    <row r="21" spans="1:3" ht="15" customHeight="1" x14ac:dyDescent="0.25">
      <c r="A21" s="17" t="s">
        <v>90</v>
      </c>
      <c r="B21" s="18" t="s">
        <v>24</v>
      </c>
      <c r="C21" s="19" t="s">
        <v>25</v>
      </c>
    </row>
    <row r="22" spans="1:3" s="9" customFormat="1" ht="15" customHeight="1" x14ac:dyDescent="0.25">
      <c r="A22" s="29" t="s">
        <v>62</v>
      </c>
      <c r="B22" s="7" t="s">
        <v>100</v>
      </c>
      <c r="C22" s="8" t="s">
        <v>101</v>
      </c>
    </row>
    <row r="23" spans="1:3" s="13" customFormat="1" ht="15" customHeight="1" x14ac:dyDescent="0.25">
      <c r="A23" s="10" t="s">
        <v>102</v>
      </c>
      <c r="B23" s="11" t="s">
        <v>103</v>
      </c>
      <c r="C23" s="12" t="s">
        <v>104</v>
      </c>
    </row>
    <row r="24" spans="1:3" s="9" customFormat="1" ht="15" customHeight="1" x14ac:dyDescent="0.25">
      <c r="A24" s="6" t="s">
        <v>68</v>
      </c>
      <c r="B24" s="7" t="s">
        <v>105</v>
      </c>
      <c r="C24" s="8" t="s">
        <v>106</v>
      </c>
    </row>
    <row r="25" spans="1:3" s="13" customFormat="1" ht="15" customHeight="1" x14ac:dyDescent="0.25">
      <c r="A25" s="10" t="s">
        <v>31</v>
      </c>
      <c r="B25" s="11" t="s">
        <v>107</v>
      </c>
      <c r="C25" s="12" t="s">
        <v>108</v>
      </c>
    </row>
    <row r="26" spans="1:3" s="9" customFormat="1" ht="15" customHeight="1" x14ac:dyDescent="0.25">
      <c r="A26" s="29" t="s">
        <v>74</v>
      </c>
      <c r="B26" s="30" t="s">
        <v>109</v>
      </c>
      <c r="C26" s="30" t="s">
        <v>110</v>
      </c>
    </row>
    <row r="27" spans="1:3" s="13" customFormat="1" ht="15" customHeight="1" x14ac:dyDescent="0.25">
      <c r="A27" s="10" t="s">
        <v>77</v>
      </c>
      <c r="B27" s="11"/>
      <c r="C27" s="12" t="s">
        <v>111</v>
      </c>
    </row>
    <row r="28" spans="1:3" s="9" customFormat="1" ht="15" customHeight="1" x14ac:dyDescent="0.25">
      <c r="A28" s="6" t="s">
        <v>112</v>
      </c>
      <c r="B28" s="7"/>
      <c r="C28" s="8" t="s">
        <v>113</v>
      </c>
    </row>
    <row r="29" spans="1:3" s="13" customFormat="1" ht="15" customHeight="1" x14ac:dyDescent="0.25">
      <c r="A29" s="31" t="s">
        <v>81</v>
      </c>
      <c r="B29" s="32" t="s">
        <v>114</v>
      </c>
      <c r="C29" s="32" t="s">
        <v>115</v>
      </c>
    </row>
    <row r="30" spans="1:3" ht="15" customHeight="1" x14ac:dyDescent="0.25">
      <c r="A30" s="29" t="s">
        <v>84</v>
      </c>
      <c r="B30" s="30" t="s">
        <v>116</v>
      </c>
      <c r="C30" s="30" t="s">
        <v>117</v>
      </c>
    </row>
    <row r="31" spans="1:3" s="13" customFormat="1" ht="15" customHeight="1" x14ac:dyDescent="0.25">
      <c r="A31" s="31" t="s">
        <v>87</v>
      </c>
      <c r="B31" s="32" t="s">
        <v>118</v>
      </c>
      <c r="C31" s="32" t="s">
        <v>119</v>
      </c>
    </row>
    <row r="32" spans="1:3" s="9" customFormat="1" ht="15" customHeight="1" x14ac:dyDescent="0.25">
      <c r="A32" s="6" t="s">
        <v>43</v>
      </c>
      <c r="B32" s="7" t="s">
        <v>47</v>
      </c>
      <c r="C32" s="8" t="s">
        <v>48</v>
      </c>
    </row>
    <row r="33" spans="1:3" s="13" customFormat="1" ht="15" customHeight="1" x14ac:dyDescent="0.25">
      <c r="A33" s="10" t="s">
        <v>46</v>
      </c>
      <c r="B33" s="11" t="s">
        <v>91</v>
      </c>
      <c r="C33" s="12" t="s">
        <v>92</v>
      </c>
    </row>
    <row r="34" spans="1:3" s="9" customFormat="1" ht="15" customHeight="1" x14ac:dyDescent="0.25">
      <c r="A34" s="6" t="s">
        <v>49</v>
      </c>
      <c r="B34" s="7" t="s">
        <v>93</v>
      </c>
      <c r="C34" s="8" t="s">
        <v>94</v>
      </c>
    </row>
    <row r="35" spans="1:3" s="13" customFormat="1" ht="15" customHeight="1" x14ac:dyDescent="0.25">
      <c r="A35" s="10" t="s">
        <v>52</v>
      </c>
      <c r="B35" s="11" t="s">
        <v>95</v>
      </c>
      <c r="C35" s="12" t="s">
        <v>96</v>
      </c>
    </row>
    <row r="36" spans="1:3" s="9" customFormat="1" ht="15" customHeight="1" x14ac:dyDescent="0.25">
      <c r="A36" s="63" t="s">
        <v>55</v>
      </c>
      <c r="B36" s="64" t="s">
        <v>97</v>
      </c>
      <c r="C36" s="64" t="s">
        <v>98</v>
      </c>
    </row>
    <row r="37" spans="1:3" s="13" customFormat="1" ht="15" customHeight="1" x14ac:dyDescent="0.25">
      <c r="A37" s="65" t="s">
        <v>58</v>
      </c>
      <c r="B37" s="66" t="s">
        <v>97</v>
      </c>
      <c r="C37" s="66" t="s">
        <v>98</v>
      </c>
    </row>
    <row r="65536" ht="15" customHeight="1" x14ac:dyDescent="0.25"/>
  </sheetData>
  <pageMargins left="0.7" right="0.7" top="0.75" bottom="0.75" header="0.51180555555555496" footer="0.51180555555555496"/>
  <pageSetup paperSize="0" scale="0" firstPageNumber="0" orientation="portrait" usePrinterDefaults="0" horizontalDpi="0" verticalDpi="0" copie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Post-1 Tables</vt:lpstr>
      <vt:lpstr>Crankshaft History</vt:lpstr>
      <vt:lpstr>Crank-Main</vt:lpstr>
      <vt:lpstr>Rod Journals</vt:lpstr>
      <vt:lpstr>OEM Rods</vt:lpstr>
      <vt:lpstr>CARR Rods</vt:lpstr>
      <vt:lpstr>Virgin 088_089</vt:lpstr>
      <vt:lpstr>Virgin 702_703</vt:lpstr>
      <vt:lpstr>Virgin Calico</vt:lpstr>
      <vt:lpstr>Virgin WPC</vt:lpstr>
      <vt:lpstr>Rod Bearing History</vt: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 Collins</dc:creator>
  <cp:lastModifiedBy>Robert Collins</cp:lastModifiedBy>
  <cp:revision>0</cp:revision>
  <dcterms:created xsi:type="dcterms:W3CDTF">2013-07-29T04:04:48Z</dcterms:created>
  <dcterms:modified xsi:type="dcterms:W3CDTF">2015-02-07T20:31:49Z</dcterms:modified>
</cp:coreProperties>
</file>